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11805" activeTab="2"/>
  </bookViews>
  <sheets>
    <sheet name="план " sheetId="8" r:id="rId1"/>
    <sheet name="вспомогательная" sheetId="1" r:id="rId2"/>
    <sheet name="закупки" sheetId="7" r:id="rId3"/>
    <sheet name="аренда" sheetId="4" r:id="rId4"/>
    <sheet name="возмещение" sheetId="5" r:id="rId5"/>
    <sheet name="иная прин " sheetId="6" r:id="rId6"/>
    <sheet name="субсидия" sheetId="3" r:id="rId7"/>
    <sheet name="Z1053" sheetId="9" r:id="rId8"/>
    <sheet name="71053" sheetId="10" r:id="rId9"/>
    <sheet name="субвенция" sheetId="11" r:id="rId10"/>
    <sheet name="сов.пит" sheetId="12" r:id="rId11"/>
    <sheet name="депутаты" sheetId="17" r:id="rId12"/>
    <sheet name="исполнит" sheetId="16" r:id="rId13"/>
    <sheet name="питан.сотруд" sheetId="13" r:id="rId14"/>
    <sheet name="возм.коммунал" sheetId="14" r:id="rId15"/>
    <sheet name="платные" sheetId="15" r:id="rId16"/>
  </sheets>
  <definedNames>
    <definedName name="TABLE" localSheetId="2">закупки!#REF!</definedName>
    <definedName name="TABLE_2" localSheetId="2">закупки!#REF!</definedName>
    <definedName name="_xlnm.Print_Titles" localSheetId="1">вспомогательная!$24:$26</definedName>
    <definedName name="_xlnm.Print_Titles" localSheetId="2">закупки!$3:$6</definedName>
    <definedName name="_xlnm.Print_Titles" localSheetId="0">'план '!$24:$26</definedName>
    <definedName name="_xlnm.Print_Area" localSheetId="1">вспомогательная!$B$1:$N$311</definedName>
    <definedName name="_xlnm.Print_Area" localSheetId="11">депутаты!$A$1:$I$239</definedName>
    <definedName name="_xlnm.Print_Area" localSheetId="2">закупки!$A$1:$FE$49</definedName>
    <definedName name="_xlnm.Print_Area" localSheetId="12">исполнит!$A$1:$I$237</definedName>
    <definedName name="_xlnm.Print_Area" localSheetId="0">'план '!$B$1:$N$115</definedName>
    <definedName name="_xlnm.Print_Area" localSheetId="9">субвенция!$A$1:$K$640</definedName>
    <definedName name="_xlnm.Print_Area" localSheetId="6">субсидия!$A$1:$K$318</definedName>
  </definedNames>
  <calcPr calcId="144525"/>
</workbook>
</file>

<file path=xl/sharedStrings.xml><?xml version="1.0" encoding="utf-8"?>
<sst xmlns="http://schemas.openxmlformats.org/spreadsheetml/2006/main" count="3264" uniqueCount="770">
  <si>
    <t>Приложение№1</t>
  </si>
  <si>
    <t>к Порядку составления и утверждения плана финансово-хозяйственной
деятельности муниципальных бюджетных и автономных учреждений города Пензы, в отношении которых функции и полномочия учредителя осуществляет Управление образования города Пензы, утвержденному
приказом Управления образования города Пензы
от __30.12.2019________№_216__</t>
  </si>
  <si>
    <t>"Утверждаю"</t>
  </si>
  <si>
    <t>(наименование должности уполномоченного лица)</t>
  </si>
  <si>
    <t>(наименование органа - учредителя (учреждения)</t>
  </si>
  <si>
    <t>(подпись)</t>
  </si>
  <si>
    <t>(расшифровка)</t>
  </si>
  <si>
    <t>Коды</t>
  </si>
  <si>
    <t>План финансово-хозяйственной деятельности на 2020 г.</t>
  </si>
  <si>
    <t>Дата</t>
  </si>
  <si>
    <t>( на 2020 г. и плановый период 2021 и 2022 годов)</t>
  </si>
  <si>
    <t>по Сводному реестру</t>
  </si>
  <si>
    <t>глава по БК</t>
  </si>
  <si>
    <t>974</t>
  </si>
  <si>
    <t>Орган, осуществляющий</t>
  </si>
  <si>
    <t>функции и полномочия учредителя</t>
  </si>
  <si>
    <t>Управление образования города Пензы</t>
  </si>
  <si>
    <t>ИНН</t>
  </si>
  <si>
    <t>Учреждение</t>
  </si>
  <si>
    <t>КПП</t>
  </si>
  <si>
    <t>Единица измерения: руб.</t>
  </si>
  <si>
    <t>по ОКЕИ</t>
  </si>
  <si>
    <t>383</t>
  </si>
  <si>
    <t>Раздел 1. Поступления и выплаты</t>
  </si>
  <si>
    <t>Наименование показателя</t>
  </si>
  <si>
    <t>Код строки</t>
  </si>
  <si>
    <t xml:space="preserve">Код по бюджетной классификации Российской Федерации </t>
  </si>
  <si>
    <t xml:space="preserve">Аналитический код </t>
  </si>
  <si>
    <t>Сумма</t>
  </si>
  <si>
    <t>на 2020 год</t>
  </si>
  <si>
    <t>на 2021 год</t>
  </si>
  <si>
    <t>на 2022 год</t>
  </si>
  <si>
    <t>за пределами планового периода</t>
  </si>
  <si>
    <t>текущий финансовый год</t>
  </si>
  <si>
    <t>первый год планового периода</t>
  </si>
  <si>
    <t>второй год планового периода</t>
  </si>
  <si>
    <t>1</t>
  </si>
  <si>
    <t>2</t>
  </si>
  <si>
    <t>3</t>
  </si>
  <si>
    <t>4</t>
  </si>
  <si>
    <t>5</t>
  </si>
  <si>
    <t>6</t>
  </si>
  <si>
    <t>7</t>
  </si>
  <si>
    <t>8</t>
  </si>
  <si>
    <t xml:space="preserve">Остаток средств на начало текущего финансового года </t>
  </si>
  <si>
    <t>0001</t>
  </si>
  <si>
    <t>х</t>
  </si>
  <si>
    <t xml:space="preserve">Остаток средств на конец текущего финансового года </t>
  </si>
  <si>
    <t>0002</t>
  </si>
  <si>
    <t>Доходы, всего:</t>
  </si>
  <si>
    <t>1000</t>
  </si>
  <si>
    <t>в том числе:
доходы от собственности, всего</t>
  </si>
  <si>
    <t>1100</t>
  </si>
  <si>
    <t>120</t>
  </si>
  <si>
    <t>в том числе:</t>
  </si>
  <si>
    <t>1110</t>
  </si>
  <si>
    <t>доходы от оказания услуг, работ, компенсации затрат учреждений, всего</t>
  </si>
  <si>
    <t>1200</t>
  </si>
  <si>
    <t>130</t>
  </si>
  <si>
    <t xml:space="preserve">в том числе:
субсидии на финансовое обеспечение выполнения муниципального задания </t>
  </si>
  <si>
    <t>1210</t>
  </si>
  <si>
    <t>доходы от штрафов, пеней, иных сумм принудительного изъятия, всего</t>
  </si>
  <si>
    <t>1300</t>
  </si>
  <si>
    <t>140</t>
  </si>
  <si>
    <t>1310</t>
  </si>
  <si>
    <t>безвозмездные денежные поступления, всего</t>
  </si>
  <si>
    <t>1400</t>
  </si>
  <si>
    <t>150</t>
  </si>
  <si>
    <t>прочие доходы, всего</t>
  </si>
  <si>
    <t>1500</t>
  </si>
  <si>
    <t>180</t>
  </si>
  <si>
    <t>1510</t>
  </si>
  <si>
    <t>целевые субсидии</t>
  </si>
  <si>
    <t>доходы от иной приносящей доход деятельности, всего</t>
  </si>
  <si>
    <t>1900</t>
  </si>
  <si>
    <t>родительская плата</t>
  </si>
  <si>
    <t>столовая (питание сотрудников)</t>
  </si>
  <si>
    <t>возмещение</t>
  </si>
  <si>
    <t>платные услуги</t>
  </si>
  <si>
    <t xml:space="preserve">прочие поступления, всего </t>
  </si>
  <si>
    <t>1980</t>
  </si>
  <si>
    <t>из них:
увеличение остатков денежных средств за счет возврата дебиторской задолженности прошлых лет</t>
  </si>
  <si>
    <t>1981</t>
  </si>
  <si>
    <t>510</t>
  </si>
  <si>
    <t>Расходы, всего</t>
  </si>
  <si>
    <t>2000</t>
  </si>
  <si>
    <t>в том числе:
на выплаты персоналу, всего</t>
  </si>
  <si>
    <t>2100</t>
  </si>
  <si>
    <t>в том числе:
оплата труда</t>
  </si>
  <si>
    <t>2110</t>
  </si>
  <si>
    <t>111</t>
  </si>
  <si>
    <t>211</t>
  </si>
  <si>
    <t>266</t>
  </si>
  <si>
    <t>прочие выплаты персоналу, в том числе компенсационного характера</t>
  </si>
  <si>
    <t>2120</t>
  </si>
  <si>
    <t>112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</si>
  <si>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</si>
  <si>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</si>
  <si>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119</t>
  </si>
  <si>
    <t>в том числе:
на выплаты по оплате труда</t>
  </si>
  <si>
    <t>2141</t>
  </si>
  <si>
    <t>213</t>
  </si>
  <si>
    <t>на иные выплаты работникам</t>
  </si>
  <si>
    <t>2142</t>
  </si>
  <si>
    <t>уплата налогов, сборов и иных платежей, всего</t>
  </si>
  <si>
    <t>2300</t>
  </si>
  <si>
    <t>850</t>
  </si>
  <si>
    <t>из них:
налог на имущество организаций и земельный налог</t>
  </si>
  <si>
    <t>2310</t>
  </si>
  <si>
    <t>851</t>
  </si>
  <si>
    <t>291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</si>
  <si>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</si>
  <si>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2320</t>
  </si>
  <si>
    <t>852</t>
  </si>
  <si>
    <t>уплата штрафов (в том числе административных), пеней, иных платежей</t>
  </si>
  <si>
    <t>2330</t>
  </si>
  <si>
    <t>853</t>
  </si>
  <si>
    <t>прочие выплаты (кроме выплат на закупку товаров, работ, услуг)</t>
  </si>
  <si>
    <t>2500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</si>
  <si>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</si>
  <si>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2520</t>
  </si>
  <si>
    <t>831</t>
  </si>
  <si>
    <t xml:space="preserve">расходы на закупку товаров, работ, услуг, всего </t>
  </si>
  <si>
    <t>2600</t>
  </si>
  <si>
    <t>в том числе:
закупку научно-исследовательских и опытно-конструкторских работ</t>
  </si>
  <si>
    <t>2610</t>
  </si>
  <si>
    <t>241</t>
  </si>
  <si>
    <t>закупку товаров, работ, услуг в сфере информационно-коммуникационных технологий</t>
  </si>
  <si>
    <t>2620</t>
  </si>
  <si>
    <t>242</t>
  </si>
  <si>
    <t>закупку товаров, работ, услуг в целях капитального ремонта государственного (муниципального) имущества</t>
  </si>
  <si>
    <t>2630</t>
  </si>
  <si>
    <t>243</t>
  </si>
  <si>
    <t>226</t>
  </si>
  <si>
    <t>прочую закупку товаров, работ и услуг, всего</t>
  </si>
  <si>
    <t>2640</t>
  </si>
  <si>
    <t>244</t>
  </si>
  <si>
    <t>из них:  Услуги свзи</t>
  </si>
  <si>
    <t>221</t>
  </si>
  <si>
    <t>222</t>
  </si>
  <si>
    <t>Коммунальные услуги</t>
  </si>
  <si>
    <t>223</t>
  </si>
  <si>
    <t>Работы, услуги по содержанию имущества</t>
  </si>
  <si>
    <t>225</t>
  </si>
  <si>
    <t>прочие работы, услуги</t>
  </si>
  <si>
    <t>Услуги , работы для целей капитальных вложений</t>
  </si>
  <si>
    <t>Увеличение стоимости основных средств</t>
  </si>
  <si>
    <t>310</t>
  </si>
  <si>
    <t>Увеличение стоимости лекарственных препаратоа и материалов применяемых в медицинских целях</t>
  </si>
  <si>
    <t>Увеличение стоимости строительных материалов</t>
  </si>
  <si>
    <t>344</t>
  </si>
  <si>
    <t>Увеличение стоимоти мягкого инвентаря</t>
  </si>
  <si>
    <t>Увеличение стоимости прочих материальных запасов</t>
  </si>
  <si>
    <t>социальные и иные выплаты населению, всего</t>
  </si>
  <si>
    <t>2200</t>
  </si>
  <si>
    <t>300</t>
  </si>
  <si>
    <t>в том числе:
социальные выплаты гражданам, кроме публичных нормативных социальных выплат</t>
  </si>
  <si>
    <t>2210</t>
  </si>
  <si>
    <t>320</t>
  </si>
  <si>
    <t>из них:
пособия, компенсации и иные социальные выплаты гражданам, кроме публичных нормативных обязательств</t>
  </si>
  <si>
    <t>2211</t>
  </si>
  <si>
    <t>321</t>
  </si>
  <si>
    <t>264</t>
  </si>
  <si>
    <t xml:space="preserve">Прочие выплаты, всего </t>
  </si>
  <si>
    <t>4000</t>
  </si>
  <si>
    <t>из них:
возврат в бюджет средств субсидии</t>
  </si>
  <si>
    <t>4010</t>
  </si>
  <si>
    <t>610</t>
  </si>
  <si>
    <t>Заведующий</t>
  </si>
  <si>
    <t>МАДОУ Центр развития ребенка - детский сад № 150 города Пензы "Алый парус"</t>
  </si>
  <si>
    <t>Измайлова Н.В.</t>
  </si>
  <si>
    <t>"17" июня 2020</t>
  </si>
  <si>
    <t>17.06.2020</t>
  </si>
  <si>
    <t>от " 17 " июня 2020г.</t>
  </si>
  <si>
    <t>5837009417</t>
  </si>
  <si>
    <t>583701001</t>
  </si>
  <si>
    <t xml:space="preserve">родительская плата </t>
  </si>
  <si>
    <t>возмещение коммунальных затрат</t>
  </si>
  <si>
    <t>платные дополнительные образовательные услуги</t>
  </si>
  <si>
    <t>ПРОВЕРКА</t>
  </si>
  <si>
    <t>04.02.000</t>
  </si>
  <si>
    <t>1210121020</t>
  </si>
  <si>
    <t>12101Z1053</t>
  </si>
  <si>
    <t xml:space="preserve">1210171053 </t>
  </si>
  <si>
    <t>1210376210</t>
  </si>
  <si>
    <t>1210821090</t>
  </si>
  <si>
    <t xml:space="preserve"> </t>
  </si>
  <si>
    <t>1212121150</t>
  </si>
  <si>
    <t>1210921170</t>
  </si>
  <si>
    <t>1210476240</t>
  </si>
  <si>
    <t>1211221140</t>
  </si>
  <si>
    <t>121Е576240</t>
  </si>
  <si>
    <t>1212078030</t>
  </si>
  <si>
    <t>1210621180</t>
  </si>
  <si>
    <t>1211074342</t>
  </si>
  <si>
    <t>9940090300</t>
  </si>
  <si>
    <t>04.04.000</t>
  </si>
  <si>
    <t>из них:</t>
  </si>
  <si>
    <t>1211821190</t>
  </si>
  <si>
    <t>1211721050</t>
  </si>
  <si>
    <t>1211121130</t>
  </si>
  <si>
    <t>228</t>
  </si>
  <si>
    <t>1210521010</t>
  </si>
  <si>
    <t>341</t>
  </si>
  <si>
    <t>345</t>
  </si>
  <si>
    <t>04.04.00</t>
  </si>
  <si>
    <t>346</t>
  </si>
  <si>
    <t xml:space="preserve">Раздел 2. Сведения по выплатам на закупки товаров, работ, услуг </t>
  </si>
  <si>
    <t>№
п/п</t>
  </si>
  <si>
    <t>Коды
строк</t>
  </si>
  <si>
    <t>Год
начала закупки</t>
  </si>
  <si>
    <t>на 20</t>
  </si>
  <si>
    <t>20</t>
  </si>
  <si>
    <t xml:space="preserve"> г.</t>
  </si>
  <si>
    <t>21</t>
  </si>
  <si>
    <t>22</t>
  </si>
  <si>
    <t>(текущий финансовый год)</t>
  </si>
  <si>
    <t>(первый год планового периода)</t>
  </si>
  <si>
    <t>(второй год планового периода)</t>
  </si>
  <si>
    <t xml:space="preserve">Выплаты на закупку товаров, работ, услуг, всего </t>
  </si>
  <si>
    <t>26000</t>
  </si>
  <si>
    <t>1.1</t>
  </si>
  <si>
    <t>в том числе:
по контрактам (договорам), заключенным до начала текущего финансового года без применения норм Федерального закона от 5 апреля 2013 г. № 44-ФЗ "О контрактной системе в сфере закупок товаров, работ, услуг для обеспечения государственных и муниципальных нужд" (Собрание законодательства Российской Федерации, 2013, № 14, ст. 1652; 2018, № 32, ст. 5104) (далее - Федеральный закон № 44-ФЗ) и Федерального закона от 18 июля 2011 г. № 223-ФЗ "О закупках товаров, работ, услуг отдельными видами юридических лиц" (Собрание законодательства Российской Федерации, 2011, № 30, ст. 4571; 2018, № 32,
ст. 5135) (далее - Федеральный закон № 223-ФЗ)</t>
  </si>
  <si>
    <t>26100</t>
  </si>
  <si>
    <t>1.2</t>
  </si>
  <si>
    <t xml:space="preserve">по контрактам (договорам), планируемым к заключению в соответствующем финансовом году без применения норм Федерального закона № 44-ФЗ и Федерального закона № 223-ФЗ </t>
  </si>
  <si>
    <t>26200</t>
  </si>
  <si>
    <t>1.3</t>
  </si>
  <si>
    <t xml:space="preserve">по контрактам (договорам), заключенным до начала текущего финансового года с учетом требований Федерального закона № 44-ФЗ и Федерального закона № 223-ФЗ </t>
  </si>
  <si>
    <t>26300</t>
  </si>
  <si>
    <t>1.4</t>
  </si>
  <si>
    <t xml:space="preserve">по контрактам (договорам), планируемым к заключению в соответствующем финансовом году с учетом требований Федерального закона № 44-ФЗ и Федерального закона № 223-ФЗ </t>
  </si>
  <si>
    <t>26400</t>
  </si>
  <si>
    <t>1.4.1</t>
  </si>
  <si>
    <t>в том числе:
за счет субсидий, предоставляемых на финансовое обеспечение выполнения муниципального задания</t>
  </si>
  <si>
    <t>26410</t>
  </si>
  <si>
    <t>1.4.1.1</t>
  </si>
  <si>
    <t>в том числе:
в соответствии с Федеральным законом № 44-ФЗ</t>
  </si>
  <si>
    <t>26411</t>
  </si>
  <si>
    <t>1.4.1.2</t>
  </si>
  <si>
    <t xml:space="preserve">в соответствии с Федеральным законом № 223-ФЗ </t>
  </si>
  <si>
    <t>26412</t>
  </si>
  <si>
    <t>1.4.2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</si>
  <si>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</si>
  <si>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26420</t>
  </si>
  <si>
    <t>1.4.2.1</t>
  </si>
  <si>
    <t>26421</t>
  </si>
  <si>
    <t>1.4.2.2</t>
  </si>
  <si>
    <t>26422</t>
  </si>
  <si>
    <t>1.4.3</t>
  </si>
  <si>
    <t xml:space="preserve">за счет субсидий, предоставляемых на осуществление капитальных вложений </t>
  </si>
  <si>
    <t>26430</t>
  </si>
  <si>
    <t>1.4.5</t>
  </si>
  <si>
    <t>за счет прочих источников финансового обеспечения</t>
  </si>
  <si>
    <t>26450</t>
  </si>
  <si>
    <t>1.4.5.1</t>
  </si>
  <si>
    <t>26451</t>
  </si>
  <si>
    <t>1.4.5.2</t>
  </si>
  <si>
    <t>в соответствии с Федеральным законом № 223-ФЗ</t>
  </si>
  <si>
    <t>26452</t>
  </si>
  <si>
    <t xml:space="preserve"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 </t>
  </si>
  <si>
    <t>26500</t>
  </si>
  <si>
    <t>в том числе по году начала закупки:</t>
  </si>
  <si>
    <t>26510</t>
  </si>
  <si>
    <t>Итого по договорам, планируемым к заключению в соответствующем финансовом году в соответствии с Федеральным законом № 223-ФЗ, по соответствующему году закупки</t>
  </si>
  <si>
    <t>26600</t>
  </si>
  <si>
    <t>26610</t>
  </si>
  <si>
    <t>Руководитель учреждения</t>
  </si>
  <si>
    <t>(уполномоченное лицо учреждения)</t>
  </si>
  <si>
    <t>(должность)</t>
  </si>
  <si>
    <t>(расшифровка подписи)</t>
  </si>
  <si>
    <t>Исполнитель</t>
  </si>
  <si>
    <t>Гл.бухгалтер</t>
  </si>
  <si>
    <t>Родионова Н.А.</t>
  </si>
  <si>
    <t>31-55-99</t>
  </si>
  <si>
    <t>(фамилия, инициалы)</t>
  </si>
  <si>
    <t>(телефон)</t>
  </si>
  <si>
    <t>"</t>
  </si>
  <si>
    <t>17</t>
  </si>
  <si>
    <t>июня</t>
  </si>
  <si>
    <t>СОГЛАСОВАНО</t>
  </si>
  <si>
    <t>Начальник Управления образования</t>
  </si>
  <si>
    <t>(наименование должности уполномоченного лица органа-учредителя)</t>
  </si>
  <si>
    <t>Голодяев Ю.А.</t>
  </si>
  <si>
    <t>Приложение№2</t>
  </si>
  <si>
    <t>к Порядку составления и утверждения плана финансово-хозяйственной
деятельности муниципальных бюджетных и автономных учреждений города Пензы, в отношении которых функции и полномочия учредителя осуществляет Управление образования города Пензы, утвержденному
приказом Управления образования города Пензы
от ____30.12.2019_____№___216___</t>
  </si>
  <si>
    <t>Обоснование (расчет) доходов от использования собственности (аренда)</t>
  </si>
  <si>
    <t>Наименование дохода</t>
  </si>
  <si>
    <t>Плата (тариф, ставка) арендной платы за единицу площади ( объект), руб.</t>
  </si>
  <si>
    <t>Планируемый объем предоставления имущества в аренду (в натуральных показателях)</t>
  </si>
  <si>
    <t>Объем планируемых поступлений, руб.</t>
  </si>
  <si>
    <t>на 2020 г.  текущий финансовый год</t>
  </si>
  <si>
    <t xml:space="preserve">на 2021 г.  первый год планового периода </t>
  </si>
  <si>
    <t xml:space="preserve">на 2022г.  второй год планового периода </t>
  </si>
  <si>
    <t>Остаток денежных средств, сложившийся на 01.01.20___г.</t>
  </si>
  <si>
    <t>_</t>
  </si>
  <si>
    <t>Кредиторская задолженность, сложившаяся на 01.01.20___г.  по доходам, а также полученные на начало текущего финансового года предварительные платежи (аванс)</t>
  </si>
  <si>
    <t>Недвижимое имущество,всего:</t>
  </si>
  <si>
    <t>…</t>
  </si>
  <si>
    <t>Движимое имущество,всего:</t>
  </si>
  <si>
    <t>ИТОГО:</t>
  </si>
  <si>
    <t>Приложение№3</t>
  </si>
  <si>
    <t>к Порядку составления и утверждения плана финансово-хозяйственной
деятельности муниципальных бюджетных и автономных учреждений города Пензы, в отношении которых функции и полномочия учредителя осуществляет Управление образования города Пензы, утвержденному
приказом Управления образования города Пензы
от ____30.12.2019____№__216___</t>
  </si>
  <si>
    <t>Обоснование (расчет) доходов в виде возмещения расходов, понесенных в связи с эксплуатацией государственного (муниципального) имущества</t>
  </si>
  <si>
    <t>Планируемая стоимость услуг (возмещаемых расходов), руб.</t>
  </si>
  <si>
    <t xml:space="preserve">на 2022 г.  второй год планового периода </t>
  </si>
  <si>
    <t>возмещение коммунальных затрат от ипользования помещений ООО "Пензенский комбинат питания"</t>
  </si>
  <si>
    <t xml:space="preserve">Электроэнергия </t>
  </si>
  <si>
    <t>Теплоэнергия</t>
  </si>
  <si>
    <t>Горячее водоснабжените</t>
  </si>
  <si>
    <t>Водоснабжение</t>
  </si>
  <si>
    <t xml:space="preserve"> Канализация</t>
  </si>
  <si>
    <t>Приложение№4</t>
  </si>
  <si>
    <t>к Порядку составления и утверждения плана финансово-хозяйственной
деятельности муниципальных бюджетных и автономных учреждений города Пензы, в отношении которых функции и полномочия учредителя осуществляет Управление образования города Пензы, утвержденному
приказом Управления образования города Пензы
от ___30.12.2019_____№___216___</t>
  </si>
  <si>
    <t xml:space="preserve">Обоснование (расчет) доходов от иной приносящей доход деятельности </t>
  </si>
  <si>
    <t>Справочно:</t>
  </si>
  <si>
    <t>Среднее количество поступлений (дней) за последние три года</t>
  </si>
  <si>
    <t>Количество детей, получаемых услугу, чел.</t>
  </si>
  <si>
    <t>Плата (тариф, ставка)  за единицу услуги (работы), руб.</t>
  </si>
  <si>
    <t>Размер поступлений за последние три года</t>
  </si>
  <si>
    <t>2017 г.</t>
  </si>
  <si>
    <t>2018 г.</t>
  </si>
  <si>
    <t>2019г.</t>
  </si>
  <si>
    <t>среднее количество указанных поступлений за 2017-2018гг.</t>
  </si>
  <si>
    <t>Остаток денежных средств, сложившийся на 01.01.2020г.</t>
  </si>
  <si>
    <t>Кредиторская задолженность, сложившаяся на 01.01.2020г.  по доходам, а также полученные на начало текущего финансового года предварительные платежи (аванс)</t>
  </si>
  <si>
    <t>С песенкой по лесенке</t>
  </si>
  <si>
    <t>топ-хлоп</t>
  </si>
  <si>
    <t>Играя,развиваясь</t>
  </si>
  <si>
    <t>Речевичок</t>
  </si>
  <si>
    <t>Звуко-град</t>
  </si>
  <si>
    <t>Умка</t>
  </si>
  <si>
    <t>Здоровый дошкольник</t>
  </si>
  <si>
    <t>Крепыш</t>
  </si>
  <si>
    <t>Волшебные краски</t>
  </si>
  <si>
    <t>Танцевалочка</t>
  </si>
  <si>
    <t>Каблучок</t>
  </si>
  <si>
    <t>Малыш</t>
  </si>
  <si>
    <t>Малышкина школа</t>
  </si>
  <si>
    <t>Умелые ручки</t>
  </si>
  <si>
    <t>маленький гений</t>
  </si>
  <si>
    <t>Дельфиненок</t>
  </si>
  <si>
    <t>Рукодельница</t>
  </si>
  <si>
    <t>Спортивная карусель</t>
  </si>
  <si>
    <t>Сюрприз</t>
  </si>
  <si>
    <t>Непоседы</t>
  </si>
  <si>
    <t>Всезнайка</t>
  </si>
  <si>
    <t>Волшебная иголочка</t>
  </si>
  <si>
    <t>Бумажное чудо</t>
  </si>
  <si>
    <t>Обучалочка</t>
  </si>
  <si>
    <t>Болтунишка</t>
  </si>
  <si>
    <t>питание сотрудников</t>
  </si>
  <si>
    <t>Доход от реализации продуктов питания, произведенных столовой общеобразовательного учреждения</t>
  </si>
  <si>
    <t>Родительская плата за обеспечение отдыха и оздоровления обучающихся в лагерях с дневным пребыванием в каникулярное время (весна)</t>
  </si>
  <si>
    <t>Родительская плата за обеспечение отдыха и оздоровления обучающихся в лагерях с дневным пребыванием в каникулярное время (лето)</t>
  </si>
  <si>
    <t>Сведения о нормативно-правовых актах, устанавливающих размер платы (тарифа) платной дополнительной услуги</t>
  </si>
  <si>
    <t xml:space="preserve">Вид </t>
  </si>
  <si>
    <t xml:space="preserve"> Номер</t>
  </si>
  <si>
    <t>Наименование</t>
  </si>
  <si>
    <t>Постановление администрации города Пензы</t>
  </si>
  <si>
    <t>2222/1</t>
  </si>
  <si>
    <t>об установлении тарифов на дополнительные платные образовательные услуги, предоставляемые муниципальным автономным дошкольным образовательным учреждением Центром развития ребенка - детским садом №150 города Пензы "Алый парус"</t>
  </si>
  <si>
    <t>Приложение№5</t>
  </si>
  <si>
    <t>Расчеты (обоснования) выплат к плану финансово-хозяйственной деятельности муниципального бюджетного и автономного учреждения учреждения</t>
  </si>
  <si>
    <r>
      <rPr>
        <sz val="11"/>
        <rFont val="Times New Roman"/>
        <charset val="204"/>
      </rPr>
      <t xml:space="preserve">Наименования учреждения </t>
    </r>
    <r>
      <rPr>
        <u/>
        <sz val="11"/>
        <rFont val="Times New Roman"/>
        <charset val="204"/>
      </rPr>
      <t>МАДОУ Центр развития ребенка - детский сад № 150 города Пензы "Алый парус"</t>
    </r>
  </si>
  <si>
    <t>Код видов расходов</t>
  </si>
  <si>
    <t xml:space="preserve">Источник финансового обеспечения </t>
  </si>
  <si>
    <t>Бюджет города Пензы</t>
  </si>
  <si>
    <t xml:space="preserve">1. Расчеты (обоснования) выплат персоналу </t>
  </si>
  <si>
    <t>1.1. Расчеты (обоснования) расходов на оплату труда</t>
  </si>
  <si>
    <t>Должность, 
группа должностей</t>
  </si>
  <si>
    <t>Установленная численность, единиц</t>
  </si>
  <si>
    <t>Среднемесячный размер оплаты труда на одного работника, руб.</t>
  </si>
  <si>
    <t>Ежемесячная надбавка к должностному окладу</t>
  </si>
  <si>
    <t>Фонд оплаты труда в год с k , руб 2020 г</t>
  </si>
  <si>
    <t>Фонд оплаты труда в год с k , руб 2021 г</t>
  </si>
  <si>
    <t>Фонд оплаты труда в год с k , руб 2022 г</t>
  </si>
  <si>
    <t>всего</t>
  </si>
  <si>
    <t>по должностному окладу</t>
  </si>
  <si>
    <t>по выплатам компенсационного характера</t>
  </si>
  <si>
    <t>по выплатам стимулирующего характера</t>
  </si>
  <si>
    <t xml:space="preserve">ФЗП на 01.01.20 </t>
  </si>
  <si>
    <t>административно-управленческий</t>
  </si>
  <si>
    <t>педагогический</t>
  </si>
  <si>
    <t>прочий персонал</t>
  </si>
  <si>
    <t xml:space="preserve">ФЗП на 01.10.20 </t>
  </si>
  <si>
    <t>выплата пособий за первые три дня временной нетрудоспособности</t>
  </si>
  <si>
    <t>итого</t>
  </si>
  <si>
    <t>1.2. Расчеты (обоснования) выплат персоналу при направлении в служебные командировки</t>
  </si>
  <si>
    <t>№ п/п</t>
  </si>
  <si>
    <t>Наименование 
расходов</t>
  </si>
  <si>
    <t>Средний размер выплаты на одного работника в день, руб.</t>
  </si>
  <si>
    <t>Количество работников, 
чел.</t>
  </si>
  <si>
    <t>Количество 
дней</t>
  </si>
  <si>
    <t>Сумма, руб. 
(гр. 3 x гр. 4 x 
гр. 5) 20____ г</t>
  </si>
  <si>
    <t>1.3. Расчеты (обоснования) страховых взносов на обязательное страхование в Пенсионный фонд Российской Федерации, в Фонд социального страхования Российской Федерации, в Федеральный фонд обязательного медицинского страхования</t>
  </si>
  <si>
    <t>Наименование государственного внебюджетного фонда</t>
  </si>
  <si>
    <t>Размер базы 
для начисления страховых взносов, руб.</t>
  </si>
  <si>
    <t>Сумма, руб. 
(гр. 3 x гр. 4 x 
гр. 5) 2020 г</t>
  </si>
  <si>
    <t>Сумма, руб. 
(гр. 3 x гр. 4 x 
гр. 5) 2021 г</t>
  </si>
  <si>
    <t>Сумма, руб. 
(гр. 3 x гр. 4 x 
гр. 5) 2022 г</t>
  </si>
  <si>
    <t>Страховые взносы в Пенсионный фонд Российской Федерации, всего</t>
  </si>
  <si>
    <t>по ставке 22,0%</t>
  </si>
  <si>
    <t>Страховые взносы в Фонд социального страхования Российской Федерации, всего</t>
  </si>
  <si>
    <t>обязательное социальное страхование на случай временной нетрудоспособности и в связи с материнством по ставке 2,9%</t>
  </si>
  <si>
    <t>обязательное социальное страхование от несчастных случаев на производстве и профессиональных заболеваний по ставке 0,2%</t>
  </si>
  <si>
    <t>Страховые взносы в Федеральный фонд обязательного медицинского страхования, всего (по ставке 5,1%)</t>
  </si>
  <si>
    <t>2. Расчеты (обоснования) расходов на социальные и иные выплаты населению</t>
  </si>
  <si>
    <t>Размер одной выплаты, руб.</t>
  </si>
  <si>
    <t>Количество 
выплат в год</t>
  </si>
  <si>
    <t>Сумма, руб. 
 2020 г</t>
  </si>
  <si>
    <t>Сумма, руб. 
 2021 г</t>
  </si>
  <si>
    <t>Сумма, руб. 
 2022 г</t>
  </si>
  <si>
    <t>Пособие до 3-х лет</t>
  </si>
  <si>
    <t>Пособие по б/л ( 3 дня)</t>
  </si>
  <si>
    <t>3. Расчет (обоснование) расходов на уплату налогов, сборов и иных платежей</t>
  </si>
  <si>
    <t>Наименование расходов</t>
  </si>
  <si>
    <t>Налоговая база, руб.</t>
  </si>
  <si>
    <t>Ставка налога, 
%</t>
  </si>
  <si>
    <t>Сумма исчисленного 
налога, подлежащего 
уплате, руб. 
2020 г</t>
  </si>
  <si>
    <t>Сумма исчисленного 
налога, подлежащего 
уплате, руб. 
2021г</t>
  </si>
  <si>
    <t>Сумма исчисленного 
налога, подлежащего 
уплате, руб. 
2022 г</t>
  </si>
  <si>
    <t>Налог на землю</t>
  </si>
  <si>
    <t>Налог на имущество</t>
  </si>
  <si>
    <t>4. Расчет (обоснование) прочих расходов 
(кроме расходов на закупку товаров, работ, услуг)</t>
  </si>
  <si>
    <t>Размер одной выплаты, руб</t>
  </si>
  <si>
    <t>Общая сумма выплат,  руб. 
20________г</t>
  </si>
  <si>
    <t>5. Расчет (обоснование) расходов на закупку товаров, работ, услуг</t>
  </si>
  <si>
    <t>5.1. Расчет (обоснование) расходов на оплату услуг связи</t>
  </si>
  <si>
    <t>Количество номеров, минут</t>
  </si>
  <si>
    <t>Количество платежей в год</t>
  </si>
  <si>
    <t>Стоимость за единицу, руб.</t>
  </si>
  <si>
    <t>ПАО "Ростелеком" дог.47758 от 21.01.2020</t>
  </si>
  <si>
    <t>ПАО "Ростелеком" дог.5520 от 21.01.2020</t>
  </si>
  <si>
    <t>абоненская плата</t>
  </si>
  <si>
    <t>поминутная плата</t>
  </si>
  <si>
    <t>интернет</t>
  </si>
  <si>
    <t>5.2. Расчет (обоснование) расходов на оплату транспортных услуг</t>
  </si>
  <si>
    <t>Количество 
услуг 
перевозки</t>
  </si>
  <si>
    <t>Цена услуги перевозки, 
руб.</t>
  </si>
  <si>
    <t>Договор №   от ____</t>
  </si>
  <si>
    <t>5.3. Расчет (обоснование) расходов на оплату коммунальных услуг</t>
  </si>
  <si>
    <t>Размер потребления ресурсов</t>
  </si>
  <si>
    <t>Тариф 
(с учетом НДС), руб.</t>
  </si>
  <si>
    <t>Индексация, 
%</t>
  </si>
  <si>
    <t>ООО "ТНС Энерго" дог.452 от 24.01.2020</t>
  </si>
  <si>
    <t>электроэнергия</t>
  </si>
  <si>
    <t xml:space="preserve"> (кВТ)</t>
  </si>
  <si>
    <t>ПАО "Т плюс" дог. ТЭ1808-06364 от 09.01.2020</t>
  </si>
  <si>
    <t>теплоэнергия</t>
  </si>
  <si>
    <t xml:space="preserve"> (Гка)</t>
  </si>
  <si>
    <t>ПАО "Т плюс" дог. ТЭ1808-06064 от 09.01.2020</t>
  </si>
  <si>
    <t xml:space="preserve">ГВС </t>
  </si>
  <si>
    <t>(Гка)</t>
  </si>
  <si>
    <t>(куб)</t>
  </si>
  <si>
    <t>МКП "Теплоснабжение г.Пензы" дог. 1277 от 10.02.2020</t>
  </si>
  <si>
    <t>ООО "Горводоканал" дог.2578 от 28.01.2020</t>
  </si>
  <si>
    <t>ХВС</t>
  </si>
  <si>
    <t>Канализация</t>
  </si>
  <si>
    <t>ООО "Управление благоустройства и очистки города" дог.0000000541 от 09.01.2020г</t>
  </si>
  <si>
    <t>Вывоз ТКО</t>
  </si>
  <si>
    <t>5.4. Расчет (обоснование) расходов на оплату аренды имущества</t>
  </si>
  <si>
    <t>Количество</t>
  </si>
  <si>
    <t>Ставка 
арендной 
платы</t>
  </si>
  <si>
    <t>Стоимость 
с учетом НДС, 
руб.
20________г</t>
  </si>
  <si>
    <t>5.5. Расчет (обоснование) расходов на оплату работ, услуг по содержанию имущества</t>
  </si>
  <si>
    <t>Количество договоров</t>
  </si>
  <si>
    <t>Средняя стоимость, руб.</t>
  </si>
  <si>
    <t>дератизация ИП Володина Т.В. Дог. 292/20 от 09.01.2020</t>
  </si>
  <si>
    <t>5227 м3*0,2 руб*12 мес.=12544,8</t>
  </si>
  <si>
    <t>тех.обслуж.сигнализации ФГУП Охрана ФСВ национальной гвардии дог.6004009081 от 09.01.2020</t>
  </si>
  <si>
    <t>3 здания*261,2 руб.*12 мес.=9403,2</t>
  </si>
  <si>
    <t>АПС ООО "Чернобылец плюс" дог.32/Р-1 от 09.01.2020, ООО "Грейт" дог. 62 от 09.01.2020</t>
  </si>
  <si>
    <t>2 здания*1274 руб.*12 мес=30576</t>
  </si>
  <si>
    <t>1 здание*1000 руб*12 мес= 12000</t>
  </si>
  <si>
    <t>тех. обслуживание домофона ООО "Квалитет" дог.03/20ДТ 09.01.2020</t>
  </si>
  <si>
    <t>1600 руб.*12 мес.=19200</t>
  </si>
  <si>
    <t>содержание и ремонт общедомового имущества ООО "Ривьера Сервис" №1 от 18.03.2020</t>
  </si>
  <si>
    <t>95595,12 руб.*12 мес.= 95595,12</t>
  </si>
  <si>
    <t>тех.обслуж. средств радиомодема прямой связи ООО ЧОО "Собос Пенза" дог.1 от 09.01.2020, ООО "Чернобылец плюс" дог.246/АБ от 09.01.2020</t>
  </si>
  <si>
    <t>2 здания*1100 руб.*12 мес=26400</t>
  </si>
  <si>
    <t>тех. обслуж.  Теплосчетчиков ООО "Аква-Метроника" дог.ТО56/2020 от 09.01.2020</t>
  </si>
  <si>
    <t>2 счетчика*1605,26 руб.*12 мес.= 38526,24</t>
  </si>
  <si>
    <t>замер сопративления ИП Вагапов И.Р дог.19 от 09.01.2020</t>
  </si>
  <si>
    <t>6500 руб.*1 =6500</t>
  </si>
  <si>
    <t>Промывка, опрессовка ООО Энергия" дог. 26-05-20/2 от 26.05.2020</t>
  </si>
  <si>
    <t>2 здания*11050 рую.=22100</t>
  </si>
  <si>
    <t>лаборатор. исслед-ния воды, песка ФБУЗ "Центр гигиены и эпидемологии в Пензенской области" дог. 289 от 10.02.2020, дог.703 от 26.03.2020</t>
  </si>
  <si>
    <t>3526,63 руб.*10 мес.=35266,34</t>
  </si>
  <si>
    <t>3159,89 руб.*3 кв.= 9479,67</t>
  </si>
  <si>
    <t>заправка огнетушителей ООО "Чернобылец плюс" дог.055-П от 25.03.2020</t>
  </si>
  <si>
    <t>38 шт*170 руб.=6460</t>
  </si>
  <si>
    <t>испытание пожарных гидрантов ООО "Чернобылец плюс" дог.019-ПР от 25.03.2020</t>
  </si>
  <si>
    <t>400 руб*8 шт.= 3200</t>
  </si>
  <si>
    <t>Проверка , то пожарного гидранта, водопровода, крана ООО "Чернобылец плюс" дог.051/ВПВ от 25.03.2020</t>
  </si>
  <si>
    <t>8 шт.*900 руб.=7200</t>
  </si>
  <si>
    <t>Поверка теплосчетчиков, ХВС,ГВС ООО "Аква-Метроника" дог. 17 ИКЗ от 19.05.2020</t>
  </si>
  <si>
    <t>1 счетчик *14700 руб.=14700</t>
  </si>
  <si>
    <t>ТО электро сетей, электроустановок ООО "Центр-Сервис-Плюс" дог. 76ТО от 09.01.2020</t>
  </si>
  <si>
    <t>2100 руб.*12 мес.=25200</t>
  </si>
  <si>
    <t>Кап.ремонт Региональный фонд кап.ремонта 1 от 03.02.2020</t>
  </si>
  <si>
    <t>494,5 кв.м*7,5 руб.*12 мес.=44505</t>
  </si>
  <si>
    <t>5.6. Расчет (обоснование) расходов на оплату прочих работ, услуг</t>
  </si>
  <si>
    <t xml:space="preserve">охрана ФГКУ "Управление вневедственной охраны войск национальной гвардии Рфпо Пенз.области" дог.517/КЭВ от 09.01.2020 </t>
  </si>
  <si>
    <t>3197,40 руб.*12 мес.=38368,80</t>
  </si>
  <si>
    <t>Мед.осмотр ООО "Пенза-МЕД" 011А от 03.02.2020</t>
  </si>
  <si>
    <t>95 женщин*1000 руб.=95000</t>
  </si>
  <si>
    <t>7 мужчин*1000 руб.=7000</t>
  </si>
  <si>
    <t>электронная отчетность ООО "Компания Тензор" дог. 5832003024 от 02.03.2020, 583200302174 от 02.03.2020</t>
  </si>
  <si>
    <t>1 р.*4400 руб.= 4400</t>
  </si>
  <si>
    <t>1 р.*700 руб.= 700</t>
  </si>
  <si>
    <t>утилизация отходов</t>
  </si>
  <si>
    <t>120 шт.*10руб.=1200</t>
  </si>
  <si>
    <t>договор-подряда медперсонала в бассейне дог.1 от 09.01.2020</t>
  </si>
  <si>
    <t>264дн.*286 руб.= 75504</t>
  </si>
  <si>
    <t>1 дн.*184 руб.=184</t>
  </si>
  <si>
    <t>организация питания по принципу аутсорсинга ООО "Пензенский комбинат питания" дог.1 от 01.03.2020</t>
  </si>
  <si>
    <t>Физическая охрана ( ЧОП ) ООО "Мангуст" дог.2378 от 03.02.2020, дог.2380 от 17.02.2020</t>
  </si>
  <si>
    <t>1 здание *100 руб.* 12 час.* 230 дня= 276000</t>
  </si>
  <si>
    <t>1 здание *100 руб.* 12 час.* 220 дня= 264000</t>
  </si>
  <si>
    <t>1 здание *100 руб.* 12 час.* 228 дня= 273600</t>
  </si>
  <si>
    <t>договор-подряда с охранной дог.1 от 03.02.2020</t>
  </si>
  <si>
    <t>1 здание *100 руб.* 12 час.*10 дней= 12000</t>
  </si>
  <si>
    <t>Обучение АНО ДПО УЦ "Пожарная безопасность" дог.12-ОБ 25.03.2020</t>
  </si>
  <si>
    <t>1 р.*4500 руб.= 4500</t>
  </si>
  <si>
    <t>Оценка условий труда ООО "Охрана.Безапасность" дог. 0210/5 от 10.02.2020</t>
  </si>
  <si>
    <t>1 р.*13650 руб.=13650</t>
  </si>
  <si>
    <t>5.7. Расчет (обоснование) расходов на приобретение основных средств, материальных запасов</t>
  </si>
  <si>
    <t>Строительные материалы</t>
  </si>
  <si>
    <t>Мягкий инвентарь</t>
  </si>
  <si>
    <t>Прочие материальные запасы</t>
  </si>
  <si>
    <t>ООО "Госканцелярия" дог.359/8/2020 от 13.02.2020</t>
  </si>
  <si>
    <t>Скорошиватель</t>
  </si>
  <si>
    <t>Папка файл</t>
  </si>
  <si>
    <t>Мыло хозяйственное</t>
  </si>
  <si>
    <t>Мыло туалетное</t>
  </si>
  <si>
    <t>Пемолюкс</t>
  </si>
  <si>
    <t>Белизна</t>
  </si>
  <si>
    <t>Моющее средство лазурит(сорти)</t>
  </si>
  <si>
    <t>Порошок</t>
  </si>
  <si>
    <t>ООО "Госканцелярия" дог.1181/8/2020 от 17.06.2020</t>
  </si>
  <si>
    <t>Бумага</t>
  </si>
  <si>
    <t>Карандаши</t>
  </si>
  <si>
    <t>ручка шариковая</t>
  </si>
  <si>
    <t>Туалетная бумага</t>
  </si>
  <si>
    <t>ООО "МВС" дог.79 от 18.06.2020</t>
  </si>
  <si>
    <t xml:space="preserve">Лампа </t>
  </si>
  <si>
    <t>Дроссель</t>
  </si>
  <si>
    <t>ООО "Профит" дог.268 от 22.06.2020</t>
  </si>
  <si>
    <t>Алмадез-Хлор</t>
  </si>
  <si>
    <t>Алмадез-Экспресс</t>
  </si>
  <si>
    <t>Мыло жидкое</t>
  </si>
  <si>
    <t>ООО "Профит" дог.269 от 22.06.2020</t>
  </si>
  <si>
    <t>Термометр</t>
  </si>
  <si>
    <t>ВСЕГО</t>
  </si>
  <si>
    <t xml:space="preserve">    (должность)</t>
  </si>
  <si>
    <t xml:space="preserve">     (подпись)</t>
  </si>
  <si>
    <t xml:space="preserve">                              (расшифровка подписи)</t>
  </si>
  <si>
    <t xml:space="preserve">   (должность)</t>
  </si>
  <si>
    <t xml:space="preserve">              "_17__" июня_ 2020_г.</t>
  </si>
  <si>
    <t>Договор №</t>
  </si>
  <si>
    <t xml:space="preserve">Договор №     от </t>
  </si>
  <si>
    <t>договор № ___от ________</t>
  </si>
  <si>
    <t>ФГУП Охрана дог.№ от_____</t>
  </si>
  <si>
    <t>205 руб. * 12 мес.=2460</t>
  </si>
  <si>
    <t>ООО Чернобылец дог.№ от_____</t>
  </si>
  <si>
    <t>пожарная сигнализация</t>
  </si>
  <si>
    <t>1200 руб. * 12 мес.=14400</t>
  </si>
  <si>
    <t>договор №   от _____</t>
  </si>
  <si>
    <t>бумага</t>
  </si>
  <si>
    <t>Бюджет Пензенской области</t>
  </si>
  <si>
    <t xml:space="preserve">ФЗП на 01.02.20 </t>
  </si>
  <si>
    <t xml:space="preserve">ФЗП на 01.08.20 </t>
  </si>
  <si>
    <t xml:space="preserve">ФЗП на 01.09.20 </t>
  </si>
  <si>
    <t>Компенсация при сокращении</t>
  </si>
  <si>
    <t>Пособия при сокращении</t>
  </si>
  <si>
    <t>ГАОУ ДПО ИРР ПО дог.1 от 10.02.2020, 2 от 02.03.2020</t>
  </si>
  <si>
    <t xml:space="preserve">Повышение квалификации </t>
  </si>
  <si>
    <t>пед.работникам</t>
  </si>
  <si>
    <t>20 чел.*2000 руб.=40000</t>
  </si>
  <si>
    <t>1 чел.*1151 руб.=1151</t>
  </si>
  <si>
    <t>Игрушки, дидактический материал,наборы, конструкторы</t>
  </si>
  <si>
    <t>ИП Скуднова О.Я. дог.1 от 28.04.2020</t>
  </si>
  <si>
    <t>Мольберт</t>
  </si>
  <si>
    <t>Магнитики</t>
  </si>
  <si>
    <t>Конструктор</t>
  </si>
  <si>
    <t>Набор для песка</t>
  </si>
  <si>
    <t>Савок</t>
  </si>
  <si>
    <t>набор посуды</t>
  </si>
  <si>
    <t>Кукла</t>
  </si>
  <si>
    <t>Каталка</t>
  </si>
  <si>
    <t>Палатка</t>
  </si>
  <si>
    <t>набор овощей</t>
  </si>
  <si>
    <t>набор продуктов</t>
  </si>
  <si>
    <t>Корзина</t>
  </si>
  <si>
    <t>Набор мебели</t>
  </si>
  <si>
    <t>часы игрушечные</t>
  </si>
  <si>
    <t>Гараж</t>
  </si>
  <si>
    <t xml:space="preserve">Машина </t>
  </si>
  <si>
    <t>Набор "Дорожные знаки"</t>
  </si>
  <si>
    <t>Набор "Доктор"</t>
  </si>
  <si>
    <t>игры развивающие</t>
  </si>
  <si>
    <t>Животные</t>
  </si>
  <si>
    <t>набор насекомые</t>
  </si>
  <si>
    <t>Набор "Домашние животные"</t>
  </si>
  <si>
    <t>Набор "Диких животных"</t>
  </si>
  <si>
    <t>Мячи</t>
  </si>
  <si>
    <t>Костюмы</t>
  </si>
  <si>
    <t>Игра</t>
  </si>
  <si>
    <t>Мозайка</t>
  </si>
  <si>
    <t>Шашки с доской</t>
  </si>
  <si>
    <t>Пазлы</t>
  </si>
  <si>
    <t>Металлофон</t>
  </si>
  <si>
    <t>Гармонь</t>
  </si>
  <si>
    <t>Ксилофон</t>
  </si>
  <si>
    <t>Бубен</t>
  </si>
  <si>
    <t>Колокольчик</t>
  </si>
  <si>
    <t>Музыкальная игрушка</t>
  </si>
  <si>
    <t>Рыбалка</t>
  </si>
  <si>
    <t>Рамка-вкладыш</t>
  </si>
  <si>
    <t>Самосвал</t>
  </si>
  <si>
    <t>Коляска</t>
  </si>
  <si>
    <t>ИП Копенкин М.В. Дог.ЦБ 255 от 06.05.2020</t>
  </si>
  <si>
    <t>Игра настольная</t>
  </si>
  <si>
    <t>Дом</t>
  </si>
  <si>
    <t xml:space="preserve">Набор куханный </t>
  </si>
  <si>
    <t>Пирамида</t>
  </si>
  <si>
    <t>Логика</t>
  </si>
  <si>
    <t>Погремушки</t>
  </si>
  <si>
    <t>Набор строительный детский</t>
  </si>
  <si>
    <t>Набор</t>
  </si>
  <si>
    <t>Барабан</t>
  </si>
  <si>
    <t>Автомобиль</t>
  </si>
  <si>
    <t>Юла</t>
  </si>
  <si>
    <t>Дидактические игры</t>
  </si>
  <si>
    <t>Домик для зверей</t>
  </si>
  <si>
    <t>Игрушки</t>
  </si>
  <si>
    <t>Пищалка</t>
  </si>
  <si>
    <t>Сказка</t>
  </si>
  <si>
    <t>Книги детские</t>
  </si>
  <si>
    <t xml:space="preserve">Черепаха </t>
  </si>
  <si>
    <t>Игрушки водостойкие</t>
  </si>
  <si>
    <t>Танк</t>
  </si>
  <si>
    <t>Обручи</t>
  </si>
  <si>
    <t>весы игрушечные</t>
  </si>
  <si>
    <t>Мебель игрушечная</t>
  </si>
  <si>
    <t>Набор инструментов</t>
  </si>
  <si>
    <t>мяч футбольный</t>
  </si>
  <si>
    <t>Лото</t>
  </si>
  <si>
    <t>Труба</t>
  </si>
  <si>
    <t>Крокодильчик</t>
  </si>
  <si>
    <t>Набор машин</t>
  </si>
  <si>
    <t>Кубики</t>
  </si>
  <si>
    <t>Игра "Фрукты и овощи"</t>
  </si>
  <si>
    <t>Игра паркигн</t>
  </si>
  <si>
    <t>Игра-логика</t>
  </si>
  <si>
    <t xml:space="preserve">Холодильник </t>
  </si>
  <si>
    <t>Набор "Маленькая принцесса"</t>
  </si>
  <si>
    <t>Книги "Развивающие занятия с детьми"</t>
  </si>
  <si>
    <t>Настольные игры</t>
  </si>
  <si>
    <t>Трафареты</t>
  </si>
  <si>
    <t>Набор выпечки</t>
  </si>
  <si>
    <t>Набор "Шеф-повар"</t>
  </si>
  <si>
    <t>Набор "Парикмахер"</t>
  </si>
  <si>
    <t>Шнуровка</t>
  </si>
  <si>
    <t>Инструменты строительные (Игрушки)</t>
  </si>
  <si>
    <t>Набор "Баскетбол"</t>
  </si>
  <si>
    <t>Совок игрушечный</t>
  </si>
  <si>
    <t>Поднос игрушечный</t>
  </si>
  <si>
    <t>Набор музыкальный</t>
  </si>
  <si>
    <t>Игрушка каталка</t>
  </si>
  <si>
    <t>Набор посуды</t>
  </si>
  <si>
    <t>Книга-игрушка</t>
  </si>
  <si>
    <t>Игрушечная бытовая техника</t>
  </si>
  <si>
    <t>Плакат</t>
  </si>
  <si>
    <t>Щетка</t>
  </si>
  <si>
    <t>Швабра</t>
  </si>
  <si>
    <t>Дартс</t>
  </si>
  <si>
    <t>Кубики герои мультфильмов</t>
  </si>
  <si>
    <t>1.</t>
  </si>
  <si>
    <t>ООО "Пензенский комбинат питания" дог.1 от 01.03.2020</t>
  </si>
  <si>
    <t>обеспечение горячим питанием</t>
  </si>
  <si>
    <t>дети-инвалиды, родители детей инвалидов, дети ОВЗ (100%)</t>
  </si>
  <si>
    <t>1 чел.* 80 руб.*246 дн.= 19680</t>
  </si>
  <si>
    <t>6 чел.* 92 руб.*246 дн.= 135792</t>
  </si>
  <si>
    <t>Дети из многодетных семей (50 %)</t>
  </si>
  <si>
    <t>6 чел.* 40 руб.*246 дн.= 59040</t>
  </si>
  <si>
    <t>17 чел.* 46 руб.*246 дн.= 192372</t>
  </si>
  <si>
    <t>Матери-одиночки (50%)</t>
  </si>
  <si>
    <t>3 чел.* 40 руб.*246 дн.= 29520</t>
  </si>
  <si>
    <t>2 чел.* 46 руб.*246 дн.= 22632</t>
  </si>
  <si>
    <t>Все дети, получающие дотацию</t>
  </si>
  <si>
    <t>62 чел.* 11,66 руб.*246 дн.= 176763</t>
  </si>
  <si>
    <t>340 чел.* 15,33 руб.*246 дн.= 1282201</t>
  </si>
  <si>
    <t xml:space="preserve">Расчеты (обоснования) выплат к плану финансово-хозяйственной деятельности муниципального бюджетного </t>
  </si>
  <si>
    <t>и автономного учреждения учреждения</t>
  </si>
  <si>
    <t>Общая сумма выплат,  руб. 
20_20_г</t>
  </si>
  <si>
    <t>Общая сумма выплат,  руб. 
20__21__г</t>
  </si>
  <si>
    <t>Общая сумма выплат,  руб. 
20_22_г</t>
  </si>
  <si>
    <t>Ремонтные работы в образовательном учреждении</t>
  </si>
  <si>
    <t>ИП Бурканова В.А. дог.1 от 01.06.2020, 2 от 01.06.2020</t>
  </si>
  <si>
    <t>150000 руб.*1 здание = 150000</t>
  </si>
  <si>
    <t>100000 руб.*1 здание = 100000</t>
  </si>
  <si>
    <t>Ремонт асфальтного покрытия</t>
  </si>
  <si>
    <t>ООО "СК Пластстрой"  дог.1 от 22.06.2020</t>
  </si>
  <si>
    <t>100000 руб.*1 уч = 100000</t>
  </si>
  <si>
    <t>ФС № 026961175 от 14.02.2019</t>
  </si>
  <si>
    <t>ФС № 026960123 от 05.03.2019</t>
  </si>
  <si>
    <t>ФС № 026959796 от 21.12.2018</t>
  </si>
  <si>
    <t>Питание сотрудников</t>
  </si>
  <si>
    <t>Стоимость, руб.</t>
  </si>
  <si>
    <t>60 чел * 40 руб * 246 дн.= 590400</t>
  </si>
  <si>
    <t>Возмещение коммунальных затрат</t>
  </si>
  <si>
    <t>ООО "Управление благоустройства и очистки города"</t>
  </si>
  <si>
    <t>7 куб.* 474,34 руб*12 мес.=39844,56</t>
  </si>
  <si>
    <t>Платные дополнительные образовательные услуги</t>
  </si>
  <si>
    <t>госпошлина</t>
  </si>
  <si>
    <t>ПАО "Ростелеком" дог.47757  от 21.01.2020</t>
  </si>
  <si>
    <t>Заправка и ремонт картриджей</t>
  </si>
  <si>
    <t>220руб.*1шт.=220</t>
  </si>
  <si>
    <t>250руб.*2шт.*10мес.=5000</t>
  </si>
  <si>
    <t>1700руб*5шт.=8500</t>
  </si>
  <si>
    <t>Дезинсекция ИП Серов А.В. Дог.18--01 от 31.01.2020, 07--04 от 24.04.2020</t>
  </si>
  <si>
    <t>10000 руб.*1 раз=10000</t>
  </si>
  <si>
    <t>10000 руб.*2 раз=20000</t>
  </si>
  <si>
    <t>Текущий ремонт здания ИП Бурканова В.А. дог. 1 от 09.01.2020, дог. 1 от 01.06.2020</t>
  </si>
  <si>
    <t>75000 руб.*1 = 75000</t>
  </si>
  <si>
    <t>90000 руб.*1 = 90000</t>
  </si>
  <si>
    <t>101760,91 руб.*1 = 101760,91</t>
  </si>
  <si>
    <t>Услуги банка</t>
  </si>
  <si>
    <t>4200 руб.*12 мес=50400</t>
  </si>
  <si>
    <t>Обслуживание ЛВС ИП Митрошин Б.Н. 17/2020 09.01.2020</t>
  </si>
  <si>
    <t>2500 руб.*12 мес=30000</t>
  </si>
  <si>
    <t>Аудиторская проверка</t>
  </si>
  <si>
    <t>40000 руб.*1 мес= 40000</t>
  </si>
  <si>
    <t>Разработка планов эвакуации ИП Постников Г.В. дог.97 от 20.01.2020</t>
  </si>
  <si>
    <t>11 шт.*1800 руб.=19800</t>
  </si>
  <si>
    <t>8 объект.*800 руб.=6400</t>
  </si>
  <si>
    <t>1 р.*11850 руб.=11850</t>
  </si>
  <si>
    <t>Обслуживание сайта ООО "Интернет для бизнеса" дог.ОУ-548 от 03.02.2020</t>
  </si>
  <si>
    <t>1 р.*2120 руб.=2120</t>
  </si>
  <si>
    <t>Договор подряда с педогогом дополнительного образования</t>
  </si>
  <si>
    <t>33,12руб.*2263 час.=74950,56</t>
  </si>
  <si>
    <t>Мебель</t>
  </si>
  <si>
    <t>ИП Рыгалов А.С. Дог.И_6 от 18.05.2020, дог.И_8 от 29.05.2020</t>
  </si>
  <si>
    <t>Триммер</t>
  </si>
  <si>
    <t>Медикоменты</t>
  </si>
  <si>
    <t>ООО "МагазинМедтехника" дог.27 от 03.02.2020</t>
  </si>
  <si>
    <t>ИП Кульков Д.Е. дог.2043 от 04.02.2020</t>
  </si>
  <si>
    <t>Смеситель</t>
  </si>
  <si>
    <t>Кран шаровой</t>
  </si>
  <si>
    <t>подводка для воды</t>
  </si>
  <si>
    <t>ИП Кульков Д.Е. дог.2058 от 17.02.2020</t>
  </si>
  <si>
    <t>Счетчик для воды</t>
  </si>
  <si>
    <t>ООО "ЮгоЗапад" дог.220-7ИКЗ 12.03.2020</t>
  </si>
  <si>
    <t>Халат х\б белый</t>
  </si>
  <si>
    <t>Прочие материалы</t>
  </si>
  <si>
    <t>ООО "Госканцелярия" дог.362/8/2020 от 13.02.2020</t>
  </si>
  <si>
    <t>Закладка самоклеющая</t>
  </si>
  <si>
    <t>Клей карандаш</t>
  </si>
  <si>
    <t>Стержень</t>
  </si>
  <si>
    <t>Скобы</t>
  </si>
  <si>
    <t>Калькулятор</t>
  </si>
  <si>
    <t>Тетради</t>
  </si>
  <si>
    <t>Скотч</t>
  </si>
  <si>
    <t>ООО "Госканцелярия" дог.888/8/2020 от 21.04.2020</t>
  </si>
  <si>
    <t>ООО "Профит" дог.224 от 20.05.2020</t>
  </si>
  <si>
    <t>Антисептик</t>
  </si>
  <si>
    <t>Дозатор</t>
  </si>
  <si>
    <t>ООО "Биотроникс" дог.076-Р от 27.05.2020</t>
  </si>
</sst>
</file>

<file path=xl/styles.xml><?xml version="1.0" encoding="utf-8"?>
<styleSheet xmlns="http://schemas.openxmlformats.org/spreadsheetml/2006/main">
  <numFmts count="6">
    <numFmt numFmtId="43" formatCode="_-* #,##0.00_-;\-* #,##0.00_-;_-* &quot;-&quot;??_-;_-@_-"/>
    <numFmt numFmtId="176" formatCode="_-* #,##0.00\ &quot;₽&quot;_-;\-* #,##0.00\ &quot;₽&quot;_-;_-* \-??\ &quot;₽&quot;_-;_-@_-"/>
    <numFmt numFmtId="177" formatCode="_-* #,##0\ &quot;₽&quot;_-;\-* #,##0\ &quot;₽&quot;_-;_-* \-\ &quot;₽&quot;_-;_-@_-"/>
    <numFmt numFmtId="41" formatCode="_-* #,##0_-;\-* #,##0_-;_-* &quot;-&quot;_-;_-@_-"/>
    <numFmt numFmtId="178" formatCode="0.000"/>
    <numFmt numFmtId="179" formatCode="#,##0.0"/>
  </numFmts>
  <fonts count="54">
    <font>
      <sz val="11"/>
      <color theme="1"/>
      <name val="Calibri"/>
      <charset val="204"/>
      <scheme val="minor"/>
    </font>
    <font>
      <sz val="9"/>
      <color theme="1"/>
      <name val="Times New Roman"/>
      <charset val="204"/>
    </font>
    <font>
      <sz val="11"/>
      <color theme="1"/>
      <name val="Times New Roman"/>
      <charset val="204"/>
    </font>
    <font>
      <b/>
      <i/>
      <sz val="11"/>
      <color theme="1"/>
      <name val="Times New Roman"/>
      <charset val="204"/>
    </font>
    <font>
      <b/>
      <sz val="11"/>
      <color theme="1"/>
      <name val="Times New Roman"/>
      <charset val="204"/>
    </font>
    <font>
      <b/>
      <sz val="12"/>
      <color theme="1"/>
      <name val="Times New Roman"/>
      <charset val="204"/>
    </font>
    <font>
      <sz val="11"/>
      <name val="Times New Roman"/>
      <charset val="204"/>
    </font>
    <font>
      <u/>
      <sz val="11"/>
      <name val="Times New Roman"/>
      <charset val="204"/>
    </font>
    <font>
      <sz val="10"/>
      <color theme="1"/>
      <name val="Times New Roman"/>
      <charset val="204"/>
    </font>
    <font>
      <sz val="10"/>
      <name val="Times New Roman"/>
      <charset val="204"/>
    </font>
    <font>
      <sz val="8"/>
      <name val="Arial"/>
      <charset val="134"/>
    </font>
    <font>
      <sz val="8"/>
      <name val="Times New Roman"/>
      <charset val="204"/>
    </font>
    <font>
      <sz val="6"/>
      <name val="Times New Roman"/>
      <charset val="204"/>
    </font>
    <font>
      <sz val="11"/>
      <name val="Times New Roman CE"/>
      <charset val="238"/>
    </font>
    <font>
      <sz val="10"/>
      <name val="Times New Roman CE"/>
      <charset val="238"/>
    </font>
    <font>
      <i/>
      <sz val="11"/>
      <color theme="1"/>
      <name val="Times New Roman"/>
      <charset val="204"/>
    </font>
    <font>
      <i/>
      <u/>
      <sz val="11"/>
      <color theme="1"/>
      <name val="Times New Roman"/>
      <charset val="204"/>
    </font>
    <font>
      <sz val="10"/>
      <color rgb="FF000000"/>
      <name val="Times New Roman"/>
      <charset val="204"/>
    </font>
    <font>
      <sz val="7"/>
      <name val="Times New Roman"/>
      <charset val="204"/>
    </font>
    <font>
      <b/>
      <sz val="8"/>
      <name val="Times New Roman"/>
      <charset val="204"/>
    </font>
    <font>
      <sz val="7"/>
      <color indexed="9"/>
      <name val="Times New Roman"/>
      <charset val="204"/>
    </font>
    <font>
      <b/>
      <i/>
      <sz val="8"/>
      <name val="Times New Roman"/>
      <charset val="204"/>
    </font>
    <font>
      <u/>
      <sz val="11"/>
      <color theme="1"/>
      <name val="Times New Roman"/>
      <charset val="204"/>
    </font>
    <font>
      <sz val="6"/>
      <color theme="1"/>
      <name val="Times New Roman"/>
      <charset val="204"/>
    </font>
    <font>
      <sz val="8"/>
      <color theme="1"/>
      <name val="Times New Roman"/>
      <charset val="204"/>
    </font>
    <font>
      <u/>
      <sz val="8"/>
      <name val="Times New Roman"/>
      <charset val="204"/>
    </font>
    <font>
      <b/>
      <sz val="9"/>
      <name val="Times New Roman"/>
      <charset val="204"/>
    </font>
    <font>
      <i/>
      <sz val="8"/>
      <name val="Times New Roman"/>
      <charset val="204"/>
    </font>
    <font>
      <sz val="10"/>
      <color rgb="FF000000"/>
      <name val="Arial Cyr"/>
      <charset val="134"/>
    </font>
    <font>
      <b/>
      <sz val="9"/>
      <color theme="1"/>
      <name val="Times New Roman"/>
      <charset val="204"/>
    </font>
    <font>
      <u/>
      <sz val="8"/>
      <color theme="1"/>
      <name val="Times New Roman"/>
      <charset val="204"/>
    </font>
    <font>
      <sz val="11"/>
      <color theme="1"/>
      <name val="Calibri"/>
      <charset val="134"/>
      <scheme val="minor"/>
    </font>
    <font>
      <sz val="11"/>
      <color rgb="FFFA7D00"/>
      <name val="Calibri"/>
      <charset val="0"/>
      <scheme val="minor"/>
    </font>
    <font>
      <sz val="11"/>
      <color rgb="FF006100"/>
      <name val="Calibri"/>
      <charset val="0"/>
      <scheme val="minor"/>
    </font>
    <font>
      <sz val="10"/>
      <name val="Arial Cyr"/>
      <charset val="204"/>
    </font>
    <font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8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sz val="11"/>
      <color theme="1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0"/>
      <color rgb="FF000000"/>
      <name val="Arial CYR"/>
      <charset val="134"/>
    </font>
  </fonts>
  <fills count="4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</fills>
  <borders count="7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mediumDashDot">
        <color auto="1"/>
      </top>
      <bottom/>
      <diagonal/>
    </border>
    <border>
      <left style="mediumDashDot">
        <color auto="1"/>
      </left>
      <right/>
      <top/>
      <bottom/>
      <diagonal/>
    </border>
    <border>
      <left style="mediumDashDot">
        <color auto="1"/>
      </left>
      <right/>
      <top/>
      <bottom style="thin">
        <color auto="1"/>
      </bottom>
      <diagonal/>
    </border>
    <border>
      <left style="mediumDashDot">
        <color auto="1"/>
      </left>
      <right/>
      <top style="thin">
        <color auto="1"/>
      </top>
      <bottom/>
      <diagonal/>
    </border>
    <border>
      <left style="mediumDashDot">
        <color auto="1"/>
      </left>
      <right/>
      <top/>
      <bottom style="mediumDashDot">
        <color auto="1"/>
      </bottom>
      <diagonal/>
    </border>
    <border>
      <left/>
      <right/>
      <top/>
      <bottom style="mediumDashDot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DashDot">
        <color auto="1"/>
      </right>
      <top style="mediumDashDot">
        <color auto="1"/>
      </top>
      <bottom/>
      <diagonal/>
    </border>
    <border>
      <left/>
      <right style="mediumDashDot">
        <color auto="1"/>
      </right>
      <top/>
      <bottom/>
      <diagonal/>
    </border>
    <border>
      <left/>
      <right style="mediumDashDot">
        <color auto="1"/>
      </right>
      <top/>
      <bottom style="thin">
        <color auto="1"/>
      </bottom>
      <diagonal/>
    </border>
    <border>
      <left/>
      <right style="mediumDashDot">
        <color auto="1"/>
      </right>
      <top style="thin">
        <color auto="1"/>
      </top>
      <bottom/>
      <diagonal/>
    </border>
    <border>
      <left/>
      <right style="mediumDashDot">
        <color auto="1"/>
      </right>
      <top/>
      <bottom style="mediumDashDot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6">
    <xf numFmtId="0" fontId="0" fillId="0" borderId="0"/>
    <xf numFmtId="0" fontId="35" fillId="13" borderId="0" applyNumberFormat="0" applyBorder="0" applyAlignment="0" applyProtection="0">
      <alignment vertical="center"/>
    </xf>
    <xf numFmtId="177" fontId="31" fillId="0" borderId="0" applyFont="0" applyFill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176" fontId="31" fillId="0" borderId="0" applyFont="0" applyFill="0" applyBorder="0" applyAlignment="0" applyProtection="0">
      <alignment vertical="center"/>
    </xf>
    <xf numFmtId="43" fontId="31" fillId="0" borderId="0" applyFont="0" applyFill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9" fontId="31" fillId="0" borderId="0" applyFont="0" applyFill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7" fillId="0" borderId="71" applyNumberFormat="0" applyFill="0" applyAlignment="0" applyProtection="0">
      <alignment vertical="center"/>
    </xf>
    <xf numFmtId="0" fontId="39" fillId="22" borderId="73" applyNumberForma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0"/>
    <xf numFmtId="0" fontId="35" fillId="24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1" fillId="25" borderId="74" applyNumberFormat="0" applyFont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75" applyNumberFormat="0" applyFill="0" applyAlignment="0" applyProtection="0">
      <alignment vertical="center"/>
    </xf>
    <xf numFmtId="0" fontId="47" fillId="0" borderId="75" applyNumberFormat="0" applyFill="0" applyAlignment="0" applyProtection="0">
      <alignment vertical="center"/>
    </xf>
    <xf numFmtId="0" fontId="10" fillId="0" borderId="0"/>
    <xf numFmtId="0" fontId="48" fillId="0" borderId="76" applyNumberFormat="0" applyFill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38" fillId="21" borderId="72" applyNumberFormat="0" applyAlignment="0" applyProtection="0">
      <alignment vertical="center"/>
    </xf>
    <xf numFmtId="0" fontId="49" fillId="26" borderId="77" applyNumberFormat="0" applyAlignment="0" applyProtection="0">
      <alignment vertical="center"/>
    </xf>
    <xf numFmtId="0" fontId="50" fillId="22" borderId="72" applyNumberFormat="0" applyAlignment="0" applyProtection="0">
      <alignment vertical="center"/>
    </xf>
    <xf numFmtId="0" fontId="32" fillId="0" borderId="70" applyNumberFormat="0" applyFill="0" applyAlignment="0" applyProtection="0">
      <alignment vertical="center"/>
    </xf>
    <xf numFmtId="0" fontId="51" fillId="28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52" fillId="30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35" fillId="31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6" fillId="37" borderId="0" applyNumberFormat="0" applyBorder="0" applyAlignment="0" applyProtection="0">
      <alignment vertical="center"/>
    </xf>
    <xf numFmtId="0" fontId="10" fillId="0" borderId="0"/>
    <xf numFmtId="0" fontId="36" fillId="19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34" borderId="0" applyNumberFormat="0" applyBorder="0" applyAlignment="0" applyProtection="0">
      <alignment vertical="center"/>
    </xf>
    <xf numFmtId="0" fontId="36" fillId="36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4" fillId="0" borderId="0"/>
    <xf numFmtId="0" fontId="35" fillId="40" borderId="0" applyNumberFormat="0" applyBorder="0" applyAlignment="0" applyProtection="0">
      <alignment vertical="center"/>
    </xf>
    <xf numFmtId="0" fontId="36" fillId="33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32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38" borderId="0" applyNumberFormat="0" applyBorder="0" applyAlignment="0" applyProtection="0">
      <alignment vertical="center"/>
    </xf>
    <xf numFmtId="4" fontId="28" fillId="0" borderId="78">
      <alignment horizontal="right" vertical="top" shrinkToFit="1"/>
    </xf>
    <xf numFmtId="0" fontId="53" fillId="0" borderId="78">
      <alignment vertical="top" wrapText="1"/>
    </xf>
    <xf numFmtId="0" fontId="10" fillId="0" borderId="0"/>
  </cellStyleXfs>
  <cellXfs count="590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/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6" fillId="0" borderId="1" xfId="0" applyFont="1" applyBorder="1" applyAlignment="1"/>
    <xf numFmtId="0" fontId="7" fillId="0" borderId="0" xfId="0" applyFont="1" applyAlignment="1"/>
    <xf numFmtId="0" fontId="4" fillId="0" borderId="0" xfId="0" applyFont="1" applyAlignment="1">
      <alignment horizontal="left"/>
    </xf>
    <xf numFmtId="0" fontId="4" fillId="0" borderId="0" xfId="0" applyFont="1" applyAlignment="1"/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wrapText="1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2" xfId="0" applyFont="1" applyBorder="1" applyAlignment="1"/>
    <xf numFmtId="0" fontId="2" fillId="0" borderId="2" xfId="0" applyFont="1" applyBorder="1" applyAlignment="1">
      <alignment wrapText="1"/>
    </xf>
    <xf numFmtId="0" fontId="3" fillId="0" borderId="2" xfId="0" applyFont="1" applyBorder="1"/>
    <xf numFmtId="0" fontId="3" fillId="0" borderId="2" xfId="0" applyFont="1" applyBorder="1" applyAlignment="1"/>
    <xf numFmtId="0" fontId="1" fillId="0" borderId="3" xfId="0" applyFont="1" applyBorder="1" applyAlignment="1"/>
    <xf numFmtId="0" fontId="4" fillId="0" borderId="0" xfId="0" applyFont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8" fillId="0" borderId="4" xfId="0" applyFont="1" applyBorder="1" applyAlignment="1">
      <alignment horizontal="left" wrapText="1"/>
    </xf>
    <xf numFmtId="0" fontId="8" fillId="0" borderId="5" xfId="0" applyFont="1" applyBorder="1" applyAlignment="1">
      <alignment horizontal="left" wrapText="1"/>
    </xf>
    <xf numFmtId="0" fontId="8" fillId="0" borderId="6" xfId="0" applyFont="1" applyBorder="1" applyAlignment="1">
      <alignment horizontal="left" wrapText="1"/>
    </xf>
    <xf numFmtId="4" fontId="2" fillId="0" borderId="2" xfId="0" applyNumberFormat="1" applyFont="1" applyBorder="1" applyAlignment="1"/>
    <xf numFmtId="16" fontId="2" fillId="0" borderId="2" xfId="0" applyNumberFormat="1" applyFont="1" applyBorder="1"/>
    <xf numFmtId="0" fontId="3" fillId="0" borderId="2" xfId="0" applyFont="1" applyBorder="1" applyAlignment="1">
      <alignment horizontal="center"/>
    </xf>
    <xf numFmtId="4" fontId="3" fillId="0" borderId="2" xfId="0" applyNumberFormat="1" applyFont="1" applyBorder="1" applyAlignment="1"/>
    <xf numFmtId="0" fontId="9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center" vertical="center" wrapText="1"/>
    </xf>
    <xf numFmtId="4" fontId="6" fillId="0" borderId="2" xfId="0" applyNumberFormat="1" applyFont="1" applyBorder="1" applyAlignment="1">
      <alignment horizontal="center"/>
    </xf>
    <xf numFmtId="0" fontId="1" fillId="0" borderId="0" xfId="0" applyFont="1" applyAlignment="1"/>
    <xf numFmtId="0" fontId="3" fillId="0" borderId="0" xfId="0" applyFont="1" applyAlignment="1"/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10" fontId="2" fillId="0" borderId="2" xfId="0" applyNumberFormat="1" applyFont="1" applyBorder="1" applyAlignment="1"/>
    <xf numFmtId="0" fontId="4" fillId="0" borderId="0" xfId="0" applyFont="1" applyAlignment="1">
      <alignment horizontal="left" wrapText="1"/>
    </xf>
    <xf numFmtId="0" fontId="4" fillId="0" borderId="2" xfId="0" applyFont="1" applyBorder="1" applyAlignment="1"/>
    <xf numFmtId="0" fontId="2" fillId="0" borderId="4" xfId="0" applyFont="1" applyBorder="1" applyAlignment="1">
      <alignment horizontal="left" wrapText="1"/>
    </xf>
    <xf numFmtId="0" fontId="2" fillId="0" borderId="6" xfId="0" applyFont="1" applyBorder="1" applyAlignment="1">
      <alignment horizontal="left" wrapText="1"/>
    </xf>
    <xf numFmtId="0" fontId="2" fillId="0" borderId="4" xfId="0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2" fillId="0" borderId="4" xfId="0" applyFont="1" applyBorder="1" applyAlignment="1"/>
    <xf numFmtId="0" fontId="2" fillId="0" borderId="6" xfId="0" applyFont="1" applyBorder="1" applyAlignment="1"/>
    <xf numFmtId="0" fontId="10" fillId="0" borderId="4" xfId="38" applyNumberFormat="1" applyFont="1" applyBorder="1" applyAlignment="1">
      <alignment vertical="top" wrapText="1"/>
    </xf>
    <xf numFmtId="178" fontId="10" fillId="0" borderId="2" xfId="38" applyNumberFormat="1" applyFont="1" applyBorder="1" applyAlignment="1">
      <alignment horizontal="right" vertical="top" wrapText="1"/>
    </xf>
    <xf numFmtId="4" fontId="10" fillId="0" borderId="2" xfId="38" applyNumberFormat="1" applyFont="1" applyBorder="1" applyAlignment="1">
      <alignment horizontal="right" vertical="top" wrapText="1"/>
    </xf>
    <xf numFmtId="2" fontId="10" fillId="0" borderId="2" xfId="38" applyNumberFormat="1" applyFont="1" applyBorder="1" applyAlignment="1">
      <alignment horizontal="right" vertical="top" wrapText="1"/>
    </xf>
    <xf numFmtId="0" fontId="2" fillId="0" borderId="7" xfId="0" applyFont="1" applyBorder="1" applyAlignment="1"/>
    <xf numFmtId="0" fontId="2" fillId="0" borderId="0" xfId="0" applyFont="1" applyBorder="1"/>
    <xf numFmtId="0" fontId="2" fillId="0" borderId="0" xfId="0" applyFont="1" applyBorder="1" applyAlignment="1"/>
    <xf numFmtId="0" fontId="2" fillId="0" borderId="8" xfId="0" applyFont="1" applyBorder="1"/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" fontId="3" fillId="0" borderId="12" xfId="0" applyNumberFormat="1" applyFont="1" applyBorder="1" applyAlignment="1"/>
    <xf numFmtId="0" fontId="11" fillId="0" borderId="1" xfId="0" applyNumberFormat="1" applyFont="1" applyBorder="1" applyAlignment="1"/>
    <xf numFmtId="0" fontId="11" fillId="0" borderId="0" xfId="0" applyNumberFormat="1" applyFont="1" applyBorder="1" applyAlignment="1"/>
    <xf numFmtId="0" fontId="9" fillId="0" borderId="13" xfId="0" applyNumberFormat="1" applyFont="1" applyBorder="1" applyAlignment="1">
      <alignment vertical="top"/>
    </xf>
    <xf numFmtId="0" fontId="12" fillId="0" borderId="0" xfId="0" applyNumberFormat="1" applyFont="1" applyBorder="1" applyAlignment="1">
      <alignment vertical="top"/>
    </xf>
    <xf numFmtId="0" fontId="9" fillId="0" borderId="13" xfId="0" applyNumberFormat="1" applyFont="1" applyBorder="1" applyAlignment="1">
      <alignment horizontal="center" vertical="top"/>
    </xf>
    <xf numFmtId="0" fontId="2" fillId="0" borderId="0" xfId="0" applyFont="1" applyAlignment="1">
      <alignment horizontal="left" vertical="center" wrapText="1"/>
    </xf>
    <xf numFmtId="49" fontId="11" fillId="0" borderId="1" xfId="0" applyNumberFormat="1" applyFont="1" applyBorder="1" applyAlignment="1"/>
    <xf numFmtId="0" fontId="2" fillId="0" borderId="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13" fillId="0" borderId="4" xfId="0" applyFont="1" applyBorder="1" applyAlignment="1">
      <alignment horizontal="left" wrapText="1"/>
    </xf>
    <xf numFmtId="0" fontId="13" fillId="0" borderId="6" xfId="0" applyFont="1" applyBorder="1" applyAlignment="1">
      <alignment horizontal="left" wrapText="1"/>
    </xf>
    <xf numFmtId="0" fontId="14" fillId="0" borderId="6" xfId="0" applyFont="1" applyBorder="1" applyAlignment="1">
      <alignment wrapText="1"/>
    </xf>
    <xf numFmtId="0" fontId="14" fillId="0" borderId="6" xfId="0" applyFont="1" applyBorder="1" applyAlignment="1"/>
    <xf numFmtId="0" fontId="13" fillId="0" borderId="4" xfId="0" applyFont="1" applyBorder="1" applyAlignment="1">
      <alignment horizontal="left"/>
    </xf>
    <xf numFmtId="0" fontId="13" fillId="0" borderId="6" xfId="0" applyFont="1" applyBorder="1" applyAlignment="1">
      <alignment horizontal="left"/>
    </xf>
    <xf numFmtId="0" fontId="0" fillId="0" borderId="4" xfId="0" applyNumberFormat="1" applyBorder="1" applyAlignment="1">
      <alignment vertical="top" wrapText="1"/>
    </xf>
    <xf numFmtId="0" fontId="0" fillId="0" borderId="6" xfId="0" applyNumberFormat="1" applyFont="1" applyBorder="1" applyAlignment="1">
      <alignment vertical="top" wrapText="1"/>
    </xf>
    <xf numFmtId="0" fontId="0" fillId="0" borderId="4" xfId="0" applyNumberFormat="1" applyFont="1" applyBorder="1" applyAlignment="1">
      <alignment vertical="top" wrapText="1"/>
    </xf>
    <xf numFmtId="0" fontId="5" fillId="0" borderId="0" xfId="0" applyFont="1" applyAlignment="1">
      <alignment horizontal="left" wrapText="1"/>
    </xf>
    <xf numFmtId="0" fontId="13" fillId="0" borderId="4" xfId="0" applyFont="1" applyBorder="1" applyAlignment="1">
      <alignment horizontal="center" wrapText="1"/>
    </xf>
    <xf numFmtId="0" fontId="13" fillId="0" borderId="6" xfId="0" applyFont="1" applyBorder="1" applyAlignment="1">
      <alignment horizontal="center" wrapText="1"/>
    </xf>
    <xf numFmtId="0" fontId="0" fillId="0" borderId="6" xfId="0" applyBorder="1"/>
    <xf numFmtId="0" fontId="0" fillId="0" borderId="6" xfId="0" applyBorder="1" applyAlignment="1">
      <alignment horizontal="left"/>
    </xf>
    <xf numFmtId="1" fontId="2" fillId="0" borderId="2" xfId="0" applyNumberFormat="1" applyFont="1" applyBorder="1"/>
    <xf numFmtId="0" fontId="10" fillId="0" borderId="4" xfId="55" applyNumberFormat="1" applyFont="1" applyBorder="1" applyAlignment="1">
      <alignment vertical="top" wrapText="1"/>
    </xf>
    <xf numFmtId="178" fontId="10" fillId="0" borderId="2" xfId="55" applyNumberFormat="1" applyFont="1" applyBorder="1" applyAlignment="1">
      <alignment horizontal="right" vertical="top" wrapText="1"/>
    </xf>
    <xf numFmtId="4" fontId="10" fillId="0" borderId="2" xfId="55" applyNumberFormat="1" applyFont="1" applyBorder="1" applyAlignment="1">
      <alignment horizontal="right" vertical="top" wrapText="1"/>
    </xf>
    <xf numFmtId="2" fontId="10" fillId="0" borderId="2" xfId="55" applyNumberFormat="1" applyFont="1" applyBorder="1" applyAlignment="1">
      <alignment horizontal="right" vertical="top" wrapText="1"/>
    </xf>
    <xf numFmtId="0" fontId="2" fillId="0" borderId="3" xfId="0" applyFont="1" applyBorder="1" applyAlignment="1"/>
    <xf numFmtId="0" fontId="0" fillId="0" borderId="4" xfId="0" applyNumberFormat="1" applyBorder="1" applyAlignment="1">
      <alignment horizontal="left" vertical="top" wrapText="1"/>
    </xf>
    <xf numFmtId="0" fontId="0" fillId="0" borderId="6" xfId="0" applyNumberFormat="1" applyBorder="1" applyAlignment="1">
      <alignment horizontal="left" vertical="top" wrapText="1"/>
    </xf>
    <xf numFmtId="0" fontId="2" fillId="0" borderId="0" xfId="0" applyFont="1" applyFill="1"/>
    <xf numFmtId="0" fontId="2" fillId="0" borderId="2" xfId="0" applyFont="1" applyFill="1" applyBorder="1"/>
    <xf numFmtId="0" fontId="2" fillId="0" borderId="4" xfId="0" applyFont="1" applyFill="1" applyBorder="1" applyAlignment="1">
      <alignment horizontal="left" wrapText="1"/>
    </xf>
    <xf numFmtId="0" fontId="2" fillId="0" borderId="6" xfId="0" applyFont="1" applyFill="1" applyBorder="1" applyAlignment="1">
      <alignment horizontal="left" wrapText="1"/>
    </xf>
    <xf numFmtId="0" fontId="2" fillId="0" borderId="2" xfId="0" applyFont="1" applyFill="1" applyBorder="1" applyAlignment="1"/>
    <xf numFmtId="0" fontId="2" fillId="0" borderId="4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2" fillId="0" borderId="0" xfId="0" applyFont="1" applyFill="1" applyAlignment="1"/>
    <xf numFmtId="0" fontId="10" fillId="0" borderId="4" xfId="23" applyNumberFormat="1" applyFont="1" applyBorder="1" applyAlignment="1">
      <alignment vertical="top" wrapText="1"/>
    </xf>
    <xf numFmtId="2" fontId="10" fillId="0" borderId="2" xfId="23" applyNumberFormat="1" applyFont="1" applyBorder="1" applyAlignment="1">
      <alignment horizontal="right" vertical="top" wrapText="1"/>
    </xf>
    <xf numFmtId="178" fontId="10" fillId="0" borderId="2" xfId="23" applyNumberFormat="1" applyFont="1" applyBorder="1" applyAlignment="1">
      <alignment horizontal="right" vertical="top" wrapText="1"/>
    </xf>
    <xf numFmtId="0" fontId="10" fillId="0" borderId="4" xfId="23" applyNumberFormat="1" applyFont="1" applyBorder="1" applyAlignment="1">
      <alignment horizontal="left" vertical="top" wrapText="1"/>
    </xf>
    <xf numFmtId="0" fontId="10" fillId="0" borderId="6" xfId="23" applyNumberFormat="1" applyFont="1" applyBorder="1" applyAlignment="1">
      <alignment horizontal="left" vertical="top" wrapText="1"/>
    </xf>
    <xf numFmtId="0" fontId="10" fillId="0" borderId="5" xfId="23" applyNumberFormat="1" applyFont="1" applyBorder="1" applyAlignment="1">
      <alignment vertical="top" wrapText="1"/>
    </xf>
    <xf numFmtId="4" fontId="10" fillId="0" borderId="2" xfId="23" applyNumberFormat="1" applyFont="1" applyBorder="1" applyAlignment="1">
      <alignment horizontal="right" vertical="top" wrapText="1"/>
    </xf>
    <xf numFmtId="0" fontId="2" fillId="0" borderId="0" xfId="14" applyFont="1" applyAlignment="1">
      <alignment horizontal="center" vertical="center" wrapText="1"/>
    </xf>
    <xf numFmtId="0" fontId="4" fillId="0" borderId="0" xfId="14" applyFont="1" applyAlignment="1">
      <alignment horizontal="center" vertical="center" wrapText="1"/>
    </xf>
    <xf numFmtId="0" fontId="4" fillId="0" borderId="1" xfId="14" applyFont="1" applyBorder="1" applyAlignment="1">
      <alignment horizontal="center" vertical="center" wrapText="1"/>
    </xf>
    <xf numFmtId="0" fontId="2" fillId="0" borderId="13" xfId="14" applyFont="1" applyBorder="1" applyAlignment="1">
      <alignment horizontal="center" vertical="center" wrapText="1"/>
    </xf>
    <xf numFmtId="0" fontId="2" fillId="0" borderId="2" xfId="14" applyFont="1" applyBorder="1" applyAlignment="1">
      <alignment horizontal="center" vertical="center" wrapText="1"/>
    </xf>
    <xf numFmtId="0" fontId="2" fillId="0" borderId="14" xfId="14" applyFont="1" applyBorder="1" applyAlignment="1">
      <alignment horizontal="center" vertical="center" wrapText="1"/>
    </xf>
    <xf numFmtId="0" fontId="2" fillId="0" borderId="15" xfId="14" applyFont="1" applyBorder="1" applyAlignment="1">
      <alignment horizontal="center" vertical="center" wrapText="1"/>
    </xf>
    <xf numFmtId="0" fontId="2" fillId="0" borderId="0" xfId="14" applyFont="1" applyBorder="1" applyAlignment="1">
      <alignment horizontal="center" vertical="center" wrapText="1"/>
    </xf>
    <xf numFmtId="0" fontId="2" fillId="0" borderId="16" xfId="14" applyFont="1" applyBorder="1" applyAlignment="1">
      <alignment horizontal="center" vertical="center" wrapText="1"/>
    </xf>
    <xf numFmtId="0" fontId="2" fillId="0" borderId="1" xfId="14" applyFont="1" applyBorder="1" applyAlignment="1">
      <alignment horizontal="center" vertical="center" wrapText="1"/>
    </xf>
    <xf numFmtId="0" fontId="2" fillId="0" borderId="17" xfId="14" applyFont="1" applyBorder="1" applyAlignment="1">
      <alignment horizontal="center" vertical="center" wrapText="1"/>
    </xf>
    <xf numFmtId="0" fontId="8" fillId="0" borderId="2" xfId="14" applyFont="1" applyBorder="1" applyAlignment="1">
      <alignment horizontal="left" vertical="center" wrapText="1"/>
    </xf>
    <xf numFmtId="4" fontId="2" fillId="0" borderId="2" xfId="14" applyNumberFormat="1" applyFont="1" applyBorder="1" applyAlignment="1">
      <alignment horizontal="center" vertical="center" wrapText="1"/>
    </xf>
    <xf numFmtId="0" fontId="8" fillId="0" borderId="4" xfId="14" applyFont="1" applyBorder="1" applyAlignment="1">
      <alignment horizontal="left" vertical="center" wrapText="1"/>
    </xf>
    <xf numFmtId="4" fontId="2" fillId="0" borderId="2" xfId="14" applyNumberFormat="1" applyFont="1" applyFill="1" applyBorder="1" applyAlignment="1">
      <alignment horizontal="right" wrapText="1"/>
    </xf>
    <xf numFmtId="4" fontId="2" fillId="0" borderId="2" xfId="14" applyNumberFormat="1" applyFont="1" applyBorder="1" applyAlignment="1">
      <alignment horizontal="right" wrapText="1"/>
    </xf>
    <xf numFmtId="179" fontId="2" fillId="0" borderId="2" xfId="14" applyNumberFormat="1" applyFont="1" applyBorder="1" applyAlignment="1">
      <alignment horizontal="right" wrapText="1"/>
    </xf>
    <xf numFmtId="4" fontId="2" fillId="2" borderId="2" xfId="14" applyNumberFormat="1" applyFont="1" applyFill="1" applyBorder="1" applyAlignment="1">
      <alignment horizontal="right" wrapText="1"/>
    </xf>
    <xf numFmtId="0" fontId="8" fillId="0" borderId="4" xfId="14" applyFont="1" applyBorder="1" applyAlignment="1">
      <alignment horizontal="center" vertical="center" wrapText="1"/>
    </xf>
    <xf numFmtId="0" fontId="2" fillId="2" borderId="2" xfId="14" applyFont="1" applyFill="1" applyBorder="1" applyAlignment="1">
      <alignment horizontal="right" wrapText="1"/>
    </xf>
    <xf numFmtId="0" fontId="2" fillId="0" borderId="2" xfId="14" applyFont="1" applyBorder="1" applyAlignment="1">
      <alignment horizontal="right" wrapText="1"/>
    </xf>
    <xf numFmtId="0" fontId="2" fillId="0" borderId="2" xfId="14" applyFont="1" applyFill="1" applyBorder="1" applyAlignment="1">
      <alignment horizontal="right" wrapText="1"/>
    </xf>
    <xf numFmtId="0" fontId="4" fillId="0" borderId="2" xfId="14" applyFont="1" applyBorder="1" applyAlignment="1">
      <alignment horizontal="center" vertical="center" wrapText="1"/>
    </xf>
    <xf numFmtId="179" fontId="4" fillId="0" borderId="2" xfId="14" applyNumberFormat="1" applyFont="1" applyBorder="1" applyAlignment="1">
      <alignment horizontal="right" wrapText="1"/>
    </xf>
    <xf numFmtId="0" fontId="4" fillId="0" borderId="0" xfId="14" applyFont="1" applyBorder="1" applyAlignment="1">
      <alignment horizontal="center" vertical="center" wrapText="1"/>
    </xf>
    <xf numFmtId="0" fontId="2" fillId="0" borderId="0" xfId="14" applyFont="1" applyBorder="1" applyAlignment="1">
      <alignment vertical="center" wrapText="1"/>
    </xf>
    <xf numFmtId="0" fontId="2" fillId="0" borderId="2" xfId="14" applyFont="1" applyBorder="1" applyAlignment="1">
      <alignment horizontal="left" vertical="center" wrapText="1"/>
    </xf>
    <xf numFmtId="36" fontId="2" fillId="0" borderId="2" xfId="14" applyNumberFormat="1" applyFont="1" applyBorder="1" applyAlignment="1">
      <alignment horizontal="left" vertical="center" wrapText="1"/>
    </xf>
    <xf numFmtId="0" fontId="2" fillId="0" borderId="0" xfId="14" applyFont="1" applyBorder="1" applyAlignment="1">
      <alignment horizontal="left" vertical="center" wrapText="1"/>
    </xf>
    <xf numFmtId="0" fontId="11" fillId="0" borderId="1" xfId="14" applyNumberFormat="1" applyFont="1" applyBorder="1" applyAlignment="1"/>
    <xf numFmtId="0" fontId="11" fillId="0" borderId="0" xfId="14" applyNumberFormat="1" applyFont="1" applyBorder="1" applyAlignment="1"/>
    <xf numFmtId="0" fontId="11" fillId="0" borderId="0" xfId="14" applyNumberFormat="1" applyFont="1" applyBorder="1" applyAlignment="1">
      <alignment horizontal="center"/>
    </xf>
    <xf numFmtId="0" fontId="9" fillId="0" borderId="13" xfId="14" applyNumberFormat="1" applyFont="1" applyBorder="1" applyAlignment="1">
      <alignment vertical="top"/>
    </xf>
    <xf numFmtId="0" fontId="12" fillId="0" borderId="0" xfId="14" applyNumberFormat="1" applyFont="1" applyBorder="1" applyAlignment="1">
      <alignment vertical="top"/>
    </xf>
    <xf numFmtId="0" fontId="2" fillId="0" borderId="0" xfId="14" applyFont="1" applyAlignment="1">
      <alignment horizontal="left" vertical="center" wrapText="1"/>
    </xf>
    <xf numFmtId="49" fontId="11" fillId="0" borderId="1" xfId="14" applyNumberFormat="1" applyFont="1" applyBorder="1" applyAlignment="1"/>
    <xf numFmtId="0" fontId="9" fillId="0" borderId="13" xfId="14" applyNumberFormat="1" applyFont="1" applyBorder="1" applyAlignment="1">
      <alignment horizontal="center" vertical="top"/>
    </xf>
    <xf numFmtId="0" fontId="9" fillId="0" borderId="0" xfId="14" applyNumberFormat="1" applyFont="1" applyBorder="1" applyAlignment="1">
      <alignment horizontal="center"/>
    </xf>
    <xf numFmtId="0" fontId="8" fillId="0" borderId="0" xfId="14" applyFont="1" applyAlignment="1">
      <alignment horizontal="center" vertical="center" wrapText="1"/>
    </xf>
    <xf numFmtId="4" fontId="2" fillId="0" borderId="2" xfId="14" applyNumberFormat="1" applyFont="1" applyFill="1" applyBorder="1" applyAlignment="1">
      <alignment horizontal="center" vertical="center" wrapText="1"/>
    </xf>
    <xf numFmtId="179" fontId="4" fillId="0" borderId="2" xfId="14" applyNumberFormat="1" applyFont="1" applyBorder="1" applyAlignment="1">
      <alignment horizontal="center" vertical="top" wrapText="1"/>
    </xf>
    <xf numFmtId="4" fontId="4" fillId="0" borderId="2" xfId="14" applyNumberFormat="1" applyFont="1" applyBorder="1" applyAlignment="1">
      <alignment horizontal="right" wrapText="1"/>
    </xf>
    <xf numFmtId="0" fontId="2" fillId="0" borderId="0" xfId="14" applyFont="1" applyAlignment="1">
      <alignment vertical="center" wrapText="1"/>
    </xf>
    <xf numFmtId="0" fontId="15" fillId="0" borderId="0" xfId="14" applyFont="1" applyAlignment="1">
      <alignment horizontal="center" vertical="center" wrapText="1"/>
    </xf>
    <xf numFmtId="0" fontId="2" fillId="0" borderId="3" xfId="14" applyFont="1" applyBorder="1" applyAlignment="1">
      <alignment horizontal="center" vertical="center" wrapText="1"/>
    </xf>
    <xf numFmtId="0" fontId="2" fillId="0" borderId="4" xfId="14" applyFont="1" applyBorder="1" applyAlignment="1">
      <alignment horizontal="center" vertical="center" wrapText="1"/>
    </xf>
    <xf numFmtId="0" fontId="2" fillId="0" borderId="5" xfId="14" applyFont="1" applyBorder="1" applyAlignment="1">
      <alignment horizontal="center" vertical="center" wrapText="1"/>
    </xf>
    <xf numFmtId="0" fontId="2" fillId="0" borderId="6" xfId="14" applyFont="1" applyBorder="1" applyAlignment="1">
      <alignment horizontal="center" vertical="center" wrapText="1"/>
    </xf>
    <xf numFmtId="0" fontId="2" fillId="0" borderId="7" xfId="14" applyFont="1" applyBorder="1" applyAlignment="1">
      <alignment horizontal="center" vertical="center" wrapText="1"/>
    </xf>
    <xf numFmtId="0" fontId="16" fillId="0" borderId="2" xfId="14" applyFont="1" applyBorder="1" applyAlignment="1">
      <alignment horizontal="center" vertical="center" wrapText="1"/>
    </xf>
    <xf numFmtId="4" fontId="15" fillId="0" borderId="4" xfId="14" applyNumberFormat="1" applyFont="1" applyBorder="1" applyAlignment="1">
      <alignment horizontal="center" wrapText="1"/>
    </xf>
    <xf numFmtId="4" fontId="15" fillId="0" borderId="5" xfId="14" applyNumberFormat="1" applyFont="1" applyBorder="1" applyAlignment="1">
      <alignment horizontal="center" wrapText="1"/>
    </xf>
    <xf numFmtId="4" fontId="15" fillId="0" borderId="6" xfId="14" applyNumberFormat="1" applyFont="1" applyBorder="1" applyAlignment="1">
      <alignment horizontal="center" wrapText="1"/>
    </xf>
    <xf numFmtId="4" fontId="15" fillId="0" borderId="2" xfId="14" applyNumberFormat="1" applyFont="1" applyBorder="1" applyAlignment="1">
      <alignment horizontal="right" wrapText="1"/>
    </xf>
    <xf numFmtId="0" fontId="15" fillId="0" borderId="2" xfId="14" applyFont="1" applyBorder="1" applyAlignment="1">
      <alignment horizontal="center" vertical="center" wrapText="1"/>
    </xf>
    <xf numFmtId="0" fontId="17" fillId="0" borderId="18" xfId="54" applyNumberFormat="1" applyFont="1" applyFill="1" applyBorder="1" applyAlignment="1" applyProtection="1">
      <alignment horizontal="left" vertical="top" wrapText="1"/>
    </xf>
    <xf numFmtId="0" fontId="4" fillId="0" borderId="2" xfId="14" applyFont="1" applyBorder="1" applyAlignment="1">
      <alignment horizontal="center" wrapText="1"/>
    </xf>
    <xf numFmtId="0" fontId="18" fillId="0" borderId="0" xfId="14" applyNumberFormat="1" applyFont="1" applyBorder="1" applyAlignment="1"/>
    <xf numFmtId="0" fontId="19" fillId="0" borderId="0" xfId="44" applyNumberFormat="1" applyFont="1" applyBorder="1" applyAlignment="1">
      <alignment horizontal="left"/>
    </xf>
    <xf numFmtId="0" fontId="11" fillId="0" borderId="0" xfId="44" applyNumberFormat="1" applyFont="1" applyFill="1" applyBorder="1" applyAlignment="1">
      <alignment horizontal="left"/>
    </xf>
    <xf numFmtId="0" fontId="12" fillId="0" borderId="0" xfId="44" applyNumberFormat="1" applyFont="1" applyBorder="1" applyAlignment="1">
      <alignment horizontal="left"/>
    </xf>
    <xf numFmtId="0" fontId="18" fillId="0" borderId="0" xfId="44" applyNumberFormat="1" applyFont="1" applyBorder="1" applyAlignment="1">
      <alignment horizontal="left"/>
    </xf>
    <xf numFmtId="0" fontId="11" fillId="0" borderId="0" xfId="44" applyNumberFormat="1" applyFont="1" applyBorder="1" applyAlignment="1">
      <alignment horizontal="left"/>
    </xf>
    <xf numFmtId="0" fontId="19" fillId="0" borderId="0" xfId="44" applyNumberFormat="1" applyFont="1" applyBorder="1" applyAlignment="1">
      <alignment horizontal="center"/>
    </xf>
    <xf numFmtId="0" fontId="11" fillId="0" borderId="13" xfId="44" applyNumberFormat="1" applyFont="1" applyBorder="1" applyAlignment="1">
      <alignment horizontal="center" vertical="center" wrapText="1"/>
    </xf>
    <xf numFmtId="0" fontId="11" fillId="0" borderId="15" xfId="44" applyNumberFormat="1" applyFont="1" applyBorder="1" applyAlignment="1">
      <alignment horizontal="center" vertical="center" wrapText="1"/>
    </xf>
    <xf numFmtId="0" fontId="11" fillId="0" borderId="0" xfId="44" applyNumberFormat="1" applyFont="1" applyBorder="1" applyAlignment="1">
      <alignment horizontal="center" vertical="center" wrapText="1"/>
    </xf>
    <xf numFmtId="0" fontId="11" fillId="0" borderId="19" xfId="44" applyNumberFormat="1" applyFont="1" applyBorder="1" applyAlignment="1">
      <alignment horizontal="center" vertical="center" wrapText="1"/>
    </xf>
    <xf numFmtId="0" fontId="11" fillId="0" borderId="1" xfId="44" applyNumberFormat="1" applyFont="1" applyBorder="1" applyAlignment="1">
      <alignment horizontal="center" vertical="center" wrapText="1"/>
    </xf>
    <xf numFmtId="0" fontId="11" fillId="0" borderId="17" xfId="44" applyNumberFormat="1" applyFont="1" applyBorder="1" applyAlignment="1">
      <alignment horizontal="center" vertical="center" wrapText="1"/>
    </xf>
    <xf numFmtId="49" fontId="11" fillId="0" borderId="5" xfId="44" applyNumberFormat="1" applyFont="1" applyBorder="1" applyAlignment="1">
      <alignment horizontal="center" vertical="top"/>
    </xf>
    <xf numFmtId="49" fontId="11" fillId="0" borderId="6" xfId="44" applyNumberFormat="1" applyFont="1" applyBorder="1" applyAlignment="1">
      <alignment horizontal="center" vertical="top"/>
    </xf>
    <xf numFmtId="49" fontId="19" fillId="0" borderId="5" xfId="44" applyNumberFormat="1" applyFont="1" applyBorder="1" applyAlignment="1">
      <alignment horizontal="center"/>
    </xf>
    <xf numFmtId="49" fontId="19" fillId="0" borderId="6" xfId="44" applyNumberFormat="1" applyFont="1" applyBorder="1" applyAlignment="1">
      <alignment horizontal="center"/>
    </xf>
    <xf numFmtId="49" fontId="11" fillId="0" borderId="5" xfId="44" applyNumberFormat="1" applyFont="1" applyBorder="1" applyAlignment="1">
      <alignment horizontal="center"/>
    </xf>
    <xf numFmtId="49" fontId="11" fillId="0" borderId="6" xfId="44" applyNumberFormat="1" applyFont="1" applyBorder="1" applyAlignment="1">
      <alignment horizontal="center"/>
    </xf>
    <xf numFmtId="49" fontId="11" fillId="0" borderId="5" xfId="44" applyNumberFormat="1" applyFont="1" applyFill="1" applyBorder="1" applyAlignment="1">
      <alignment horizontal="center"/>
    </xf>
    <xf numFmtId="49" fontId="11" fillId="0" borderId="6" xfId="44" applyNumberFormat="1" applyFont="1" applyFill="1" applyBorder="1" applyAlignment="1">
      <alignment horizontal="center"/>
    </xf>
    <xf numFmtId="49" fontId="11" fillId="0" borderId="13" xfId="44" applyNumberFormat="1" applyFont="1" applyBorder="1" applyAlignment="1">
      <alignment horizontal="center"/>
    </xf>
    <xf numFmtId="49" fontId="11" fillId="0" borderId="15" xfId="44" applyNumberFormat="1" applyFont="1" applyBorder="1" applyAlignment="1">
      <alignment horizontal="center"/>
    </xf>
    <xf numFmtId="49" fontId="11" fillId="0" borderId="1" xfId="44" applyNumberFormat="1" applyFont="1" applyBorder="1" applyAlignment="1">
      <alignment horizontal="center"/>
    </xf>
    <xf numFmtId="49" fontId="11" fillId="0" borderId="17" xfId="44" applyNumberFormat="1" applyFont="1" applyBorder="1" applyAlignment="1">
      <alignment horizontal="center"/>
    </xf>
    <xf numFmtId="0" fontId="11" fillId="0" borderId="20" xfId="44" applyNumberFormat="1" applyFont="1" applyBorder="1" applyAlignment="1">
      <alignment horizontal="left"/>
    </xf>
    <xf numFmtId="0" fontId="11" fillId="0" borderId="21" xfId="44" applyNumberFormat="1" applyFont="1" applyBorder="1" applyAlignment="1">
      <alignment horizontal="left"/>
    </xf>
    <xf numFmtId="0" fontId="11" fillId="0" borderId="22" xfId="44" applyNumberFormat="1" applyFont="1" applyBorder="1" applyAlignment="1">
      <alignment horizontal="center"/>
    </xf>
    <xf numFmtId="0" fontId="11" fillId="0" borderId="1" xfId="44" applyNumberFormat="1" applyFont="1" applyBorder="1" applyAlignment="1">
      <alignment horizontal="center"/>
    </xf>
    <xf numFmtId="0" fontId="12" fillId="0" borderId="23" xfId="44" applyNumberFormat="1" applyFont="1" applyBorder="1" applyAlignment="1">
      <alignment horizontal="center" vertical="top"/>
    </xf>
    <xf numFmtId="0" fontId="12" fillId="0" borderId="13" xfId="44" applyNumberFormat="1" applyFont="1" applyBorder="1" applyAlignment="1">
      <alignment horizontal="center" vertical="top"/>
    </xf>
    <xf numFmtId="0" fontId="12" fillId="0" borderId="21" xfId="44" applyNumberFormat="1" applyFont="1" applyBorder="1" applyAlignment="1">
      <alignment horizontal="center" vertical="top"/>
    </xf>
    <xf numFmtId="0" fontId="12" fillId="0" borderId="0" xfId="44" applyNumberFormat="1" applyFont="1" applyBorder="1" applyAlignment="1">
      <alignment horizontal="center" vertical="top"/>
    </xf>
    <xf numFmtId="0" fontId="11" fillId="0" borderId="21" xfId="44" applyNumberFormat="1" applyFont="1" applyBorder="1" applyAlignment="1">
      <alignment horizontal="right"/>
    </xf>
    <xf numFmtId="0" fontId="11" fillId="0" borderId="0" xfId="44" applyNumberFormat="1" applyFont="1" applyBorder="1" applyAlignment="1">
      <alignment horizontal="right"/>
    </xf>
    <xf numFmtId="0" fontId="11" fillId="0" borderId="24" xfId="44" applyNumberFormat="1" applyFont="1" applyBorder="1" applyAlignment="1">
      <alignment horizontal="left"/>
    </xf>
    <xf numFmtId="0" fontId="11" fillId="0" borderId="25" xfId="44" applyNumberFormat="1" applyFont="1" applyBorder="1" applyAlignment="1">
      <alignment horizontal="left"/>
    </xf>
    <xf numFmtId="0" fontId="20" fillId="0" borderId="0" xfId="44" applyNumberFormat="1" applyFont="1" applyBorder="1" applyAlignment="1">
      <alignment horizontal="left"/>
    </xf>
    <xf numFmtId="0" fontId="20" fillId="0" borderId="0" xfId="44" applyNumberFormat="1" applyFont="1" applyBorder="1" applyAlignment="1">
      <alignment horizontal="justify" vertical="top"/>
    </xf>
    <xf numFmtId="0" fontId="18" fillId="0" borderId="0" xfId="44" applyNumberFormat="1" applyFont="1" applyBorder="1" applyAlignment="1">
      <alignment horizontal="justify" vertical="top"/>
    </xf>
    <xf numFmtId="0" fontId="20" fillId="0" borderId="0" xfId="44" applyNumberFormat="1" applyFont="1" applyBorder="1" applyAlignment="1">
      <alignment horizontal="justify" wrapText="1"/>
    </xf>
    <xf numFmtId="0" fontId="20" fillId="0" borderId="0" xfId="44" applyNumberFormat="1" applyFont="1" applyBorder="1" applyAlignment="1">
      <alignment horizontal="justify"/>
    </xf>
    <xf numFmtId="0" fontId="18" fillId="0" borderId="0" xfId="44" applyNumberFormat="1" applyFont="1" applyBorder="1" applyAlignment="1">
      <alignment horizontal="justify"/>
    </xf>
    <xf numFmtId="0" fontId="11" fillId="0" borderId="13" xfId="44" applyNumberFormat="1" applyFont="1" applyBorder="1" applyAlignment="1">
      <alignment horizontal="center" vertical="center"/>
    </xf>
    <xf numFmtId="0" fontId="11" fillId="0" borderId="0" xfId="44" applyNumberFormat="1" applyFont="1" applyBorder="1" applyAlignment="1">
      <alignment horizontal="center" vertical="center"/>
    </xf>
    <xf numFmtId="0" fontId="11" fillId="0" borderId="1" xfId="44" applyNumberFormat="1" applyFont="1" applyBorder="1" applyAlignment="1">
      <alignment horizontal="center" vertical="center"/>
    </xf>
    <xf numFmtId="0" fontId="19" fillId="0" borderId="4" xfId="44" applyNumberFormat="1" applyFont="1" applyBorder="1" applyAlignment="1">
      <alignment horizontal="left"/>
    </xf>
    <xf numFmtId="0" fontId="19" fillId="0" borderId="5" xfId="44" applyNumberFormat="1" applyFont="1" applyBorder="1" applyAlignment="1">
      <alignment horizontal="left"/>
    </xf>
    <xf numFmtId="0" fontId="11" fillId="0" borderId="4" xfId="44" applyNumberFormat="1" applyFont="1" applyBorder="1" applyAlignment="1">
      <alignment horizontal="left" wrapText="1" indent="1"/>
    </xf>
    <xf numFmtId="0" fontId="11" fillId="0" borderId="5" xfId="44" applyNumberFormat="1" applyFont="1" applyBorder="1" applyAlignment="1">
      <alignment horizontal="left" indent="1"/>
    </xf>
    <xf numFmtId="0" fontId="11" fillId="0" borderId="4" xfId="44" applyNumberFormat="1" applyFont="1" applyBorder="1" applyAlignment="1">
      <alignment horizontal="left" wrapText="1" indent="2"/>
    </xf>
    <xf numFmtId="0" fontId="11" fillId="0" borderId="5" xfId="44" applyNumberFormat="1" applyFont="1" applyBorder="1" applyAlignment="1">
      <alignment horizontal="left" indent="2"/>
    </xf>
    <xf numFmtId="0" fontId="11" fillId="0" borderId="4" xfId="44" applyNumberFormat="1" applyFont="1" applyFill="1" applyBorder="1" applyAlignment="1">
      <alignment horizontal="left" wrapText="1" indent="3"/>
    </xf>
    <xf numFmtId="0" fontId="11" fillId="0" borderId="5" xfId="44" applyNumberFormat="1" applyFont="1" applyFill="1" applyBorder="1" applyAlignment="1">
      <alignment horizontal="left" indent="3"/>
    </xf>
    <xf numFmtId="0" fontId="11" fillId="0" borderId="4" xfId="44" applyNumberFormat="1" applyFont="1" applyBorder="1" applyAlignment="1">
      <alignment horizontal="left" wrapText="1" indent="3"/>
    </xf>
    <xf numFmtId="0" fontId="11" fillId="0" borderId="5" xfId="44" applyNumberFormat="1" applyFont="1" applyBorder="1" applyAlignment="1">
      <alignment horizontal="left" indent="3"/>
    </xf>
    <xf numFmtId="0" fontId="11" fillId="0" borderId="4" xfId="44" applyNumberFormat="1" applyFont="1" applyBorder="1" applyAlignment="1">
      <alignment horizontal="left" wrapText="1"/>
    </xf>
    <xf numFmtId="0" fontId="11" fillId="0" borderId="5" xfId="44" applyNumberFormat="1" applyFont="1" applyBorder="1" applyAlignment="1">
      <alignment horizontal="left"/>
    </xf>
    <xf numFmtId="0" fontId="11" fillId="0" borderId="14" xfId="44" applyNumberFormat="1" applyFont="1" applyBorder="1" applyAlignment="1">
      <alignment horizontal="left" wrapText="1" indent="4"/>
    </xf>
    <xf numFmtId="0" fontId="11" fillId="0" borderId="13" xfId="44" applyNumberFormat="1" applyFont="1" applyBorder="1" applyAlignment="1">
      <alignment horizontal="left" indent="4"/>
    </xf>
    <xf numFmtId="0" fontId="11" fillId="0" borderId="16" xfId="44" applyNumberFormat="1" applyFont="1" applyBorder="1" applyAlignment="1">
      <alignment horizontal="left" wrapText="1" indent="4"/>
    </xf>
    <xf numFmtId="0" fontId="11" fillId="0" borderId="1" xfId="44" applyNumberFormat="1" applyFont="1" applyBorder="1" applyAlignment="1">
      <alignment horizontal="left" indent="4"/>
    </xf>
    <xf numFmtId="49" fontId="11" fillId="0" borderId="1" xfId="44" applyNumberFormat="1" applyFont="1" applyBorder="1" applyAlignment="1">
      <alignment horizontal="left"/>
    </xf>
    <xf numFmtId="0" fontId="11" fillId="0" borderId="15" xfId="44" applyNumberFormat="1" applyFont="1" applyBorder="1" applyAlignment="1">
      <alignment horizontal="center" vertical="center"/>
    </xf>
    <xf numFmtId="0" fontId="11" fillId="0" borderId="14" xfId="44" applyNumberFormat="1" applyFont="1" applyBorder="1" applyAlignment="1">
      <alignment horizontal="center" vertical="center" wrapText="1"/>
    </xf>
    <xf numFmtId="0" fontId="11" fillId="0" borderId="19" xfId="44" applyNumberFormat="1" applyFont="1" applyBorder="1" applyAlignment="1">
      <alignment horizontal="center" vertical="center"/>
    </xf>
    <xf numFmtId="0" fontId="11" fillId="0" borderId="26" xfId="44" applyNumberFormat="1" applyFont="1" applyBorder="1" applyAlignment="1">
      <alignment horizontal="center" vertical="center" wrapText="1"/>
    </xf>
    <xf numFmtId="0" fontId="11" fillId="0" borderId="17" xfId="44" applyNumberFormat="1" applyFont="1" applyBorder="1" applyAlignment="1">
      <alignment horizontal="center" vertical="center"/>
    </xf>
    <xf numFmtId="0" fontId="11" fillId="0" borderId="16" xfId="44" applyNumberFormat="1" applyFont="1" applyBorder="1" applyAlignment="1">
      <alignment horizontal="center" vertical="center" wrapText="1"/>
    </xf>
    <xf numFmtId="49" fontId="11" fillId="0" borderId="14" xfId="44" applyNumberFormat="1" applyFont="1" applyBorder="1" applyAlignment="1">
      <alignment horizontal="center" vertical="top"/>
    </xf>
    <xf numFmtId="49" fontId="11" fillId="0" borderId="13" xfId="44" applyNumberFormat="1" applyFont="1" applyBorder="1" applyAlignment="1">
      <alignment horizontal="center" vertical="top"/>
    </xf>
    <xf numFmtId="49" fontId="19" fillId="0" borderId="27" xfId="44" applyNumberFormat="1" applyFont="1" applyBorder="1" applyAlignment="1">
      <alignment horizontal="center"/>
    </xf>
    <xf numFmtId="49" fontId="19" fillId="0" borderId="28" xfId="44" applyNumberFormat="1" applyFont="1" applyBorder="1" applyAlignment="1">
      <alignment horizontal="center"/>
    </xf>
    <xf numFmtId="49" fontId="11" fillId="0" borderId="29" xfId="44" applyNumberFormat="1" applyFont="1" applyBorder="1" applyAlignment="1">
      <alignment horizontal="center"/>
    </xf>
    <xf numFmtId="49" fontId="11" fillId="0" borderId="29" xfId="44" applyNumberFormat="1" applyFont="1" applyFill="1" applyBorder="1" applyAlignment="1">
      <alignment horizontal="center"/>
    </xf>
    <xf numFmtId="49" fontId="11" fillId="0" borderId="30" xfId="44" applyNumberFormat="1" applyFont="1" applyBorder="1" applyAlignment="1">
      <alignment horizontal="center"/>
    </xf>
    <xf numFmtId="49" fontId="11" fillId="0" borderId="31" xfId="44" applyNumberFormat="1" applyFont="1" applyBorder="1" applyAlignment="1">
      <alignment horizontal="center"/>
    </xf>
    <xf numFmtId="49" fontId="11" fillId="0" borderId="27" xfId="44" applyNumberFormat="1" applyFont="1" applyFill="1" applyBorder="1" applyAlignment="1">
      <alignment horizontal="center"/>
    </xf>
    <xf numFmtId="49" fontId="11" fillId="0" borderId="28" xfId="44" applyNumberFormat="1" applyFont="1" applyFill="1" applyBorder="1" applyAlignment="1">
      <alignment horizontal="center"/>
    </xf>
    <xf numFmtId="0" fontId="11" fillId="0" borderId="32" xfId="44" applyNumberFormat="1" applyFont="1" applyBorder="1" applyAlignment="1">
      <alignment horizontal="left" indent="4"/>
    </xf>
    <xf numFmtId="49" fontId="11" fillId="0" borderId="33" xfId="44" applyNumberFormat="1" applyFont="1" applyBorder="1" applyAlignment="1">
      <alignment horizontal="center"/>
    </xf>
    <xf numFmtId="49" fontId="11" fillId="0" borderId="34" xfId="44" applyNumberFormat="1" applyFont="1" applyBorder="1" applyAlignment="1">
      <alignment horizontal="center"/>
    </xf>
    <xf numFmtId="49" fontId="11" fillId="0" borderId="35" xfId="44" applyNumberFormat="1" applyFont="1" applyBorder="1" applyAlignment="1">
      <alignment horizontal="center"/>
    </xf>
    <xf numFmtId="49" fontId="11" fillId="0" borderId="36" xfId="44" applyNumberFormat="1" applyFont="1" applyBorder="1" applyAlignment="1">
      <alignment horizontal="center"/>
    </xf>
    <xf numFmtId="0" fontId="11" fillId="0" borderId="37" xfId="44" applyNumberFormat="1" applyFont="1" applyBorder="1" applyAlignment="1">
      <alignment horizontal="left"/>
    </xf>
    <xf numFmtId="0" fontId="11" fillId="0" borderId="38" xfId="44" applyNumberFormat="1" applyFont="1" applyBorder="1" applyAlignment="1">
      <alignment horizontal="left"/>
    </xf>
    <xf numFmtId="0" fontId="11" fillId="0" borderId="39" xfId="44" applyNumberFormat="1" applyFont="1" applyBorder="1" applyAlignment="1">
      <alignment horizontal="center"/>
    </xf>
    <xf numFmtId="0" fontId="12" fillId="0" borderId="40" xfId="44" applyNumberFormat="1" applyFont="1" applyBorder="1" applyAlignment="1">
      <alignment horizontal="center" vertical="top"/>
    </xf>
    <xf numFmtId="0" fontId="12" fillId="0" borderId="38" xfId="44" applyNumberFormat="1" applyFont="1" applyBorder="1" applyAlignment="1">
      <alignment horizontal="center" vertical="top"/>
    </xf>
    <xf numFmtId="0" fontId="11" fillId="0" borderId="41" xfId="44" applyNumberFormat="1" applyFont="1" applyBorder="1" applyAlignment="1">
      <alignment horizontal="left"/>
    </xf>
    <xf numFmtId="49" fontId="11" fillId="0" borderId="15" xfId="44" applyNumberFormat="1" applyFont="1" applyBorder="1" applyAlignment="1">
      <alignment horizontal="center" vertical="top"/>
    </xf>
    <xf numFmtId="49" fontId="19" fillId="0" borderId="42" xfId="44" applyNumberFormat="1" applyFont="1" applyBorder="1" applyAlignment="1">
      <alignment horizontal="center"/>
    </xf>
    <xf numFmtId="49" fontId="11" fillId="0" borderId="43" xfId="44" applyNumberFormat="1" applyFont="1" applyBorder="1" applyAlignment="1">
      <alignment horizontal="center"/>
    </xf>
    <xf numFmtId="49" fontId="11" fillId="0" borderId="28" xfId="44" applyNumberFormat="1" applyFont="1" applyBorder="1" applyAlignment="1">
      <alignment horizontal="center"/>
    </xf>
    <xf numFmtId="49" fontId="11" fillId="0" borderId="4" xfId="44" applyNumberFormat="1" applyFont="1" applyBorder="1" applyAlignment="1">
      <alignment horizontal="center"/>
    </xf>
    <xf numFmtId="49" fontId="11" fillId="0" borderId="4" xfId="44" applyNumberFormat="1" applyFont="1" applyFill="1" applyBorder="1" applyAlignment="1">
      <alignment horizontal="center"/>
    </xf>
    <xf numFmtId="49" fontId="11" fillId="0" borderId="44" xfId="44" applyNumberFormat="1" applyFont="1" applyBorder="1" applyAlignment="1">
      <alignment horizontal="center"/>
    </xf>
    <xf numFmtId="49" fontId="11" fillId="0" borderId="45" xfId="44" applyNumberFormat="1" applyFont="1" applyBorder="1" applyAlignment="1">
      <alignment horizontal="center"/>
    </xf>
    <xf numFmtId="49" fontId="11" fillId="0" borderId="42" xfId="44" applyNumberFormat="1" applyFont="1" applyFill="1" applyBorder="1" applyAlignment="1">
      <alignment horizontal="center"/>
    </xf>
    <xf numFmtId="49" fontId="11" fillId="0" borderId="43" xfId="44" applyNumberFormat="1" applyFont="1" applyFill="1" applyBorder="1" applyAlignment="1">
      <alignment horizontal="center"/>
    </xf>
    <xf numFmtId="49" fontId="11" fillId="0" borderId="14" xfId="44" applyNumberFormat="1" applyFont="1" applyBorder="1" applyAlignment="1">
      <alignment horizontal="center"/>
    </xf>
    <xf numFmtId="49" fontId="11" fillId="0" borderId="16" xfId="44" applyNumberFormat="1" applyFont="1" applyBorder="1" applyAlignment="1">
      <alignment horizontal="center"/>
    </xf>
    <xf numFmtId="49" fontId="11" fillId="0" borderId="46" xfId="44" applyNumberFormat="1" applyFont="1" applyBorder="1" applyAlignment="1">
      <alignment horizontal="center"/>
    </xf>
    <xf numFmtId="49" fontId="11" fillId="0" borderId="47" xfId="44" applyNumberFormat="1" applyFont="1" applyBorder="1" applyAlignment="1">
      <alignment horizontal="center"/>
    </xf>
    <xf numFmtId="0" fontId="11" fillId="0" borderId="4" xfId="44" applyNumberFormat="1" applyFont="1" applyBorder="1" applyAlignment="1">
      <alignment horizontal="center" vertical="center"/>
    </xf>
    <xf numFmtId="0" fontId="11" fillId="0" borderId="5" xfId="44" applyNumberFormat="1" applyFont="1" applyBorder="1" applyAlignment="1">
      <alignment horizontal="center" vertical="center"/>
    </xf>
    <xf numFmtId="0" fontId="11" fillId="0" borderId="14" xfId="44" applyNumberFormat="1" applyFont="1" applyBorder="1" applyAlignment="1">
      <alignment horizontal="right"/>
    </xf>
    <xf numFmtId="0" fontId="11" fillId="0" borderId="13" xfId="44" applyNumberFormat="1" applyFont="1" applyBorder="1" applyAlignment="1">
      <alignment horizontal="right"/>
    </xf>
    <xf numFmtId="0" fontId="11" fillId="0" borderId="16" xfId="44" applyNumberFormat="1" applyFont="1" applyBorder="1" applyAlignment="1">
      <alignment horizontal="center" vertical="top" wrapText="1"/>
    </xf>
    <xf numFmtId="0" fontId="11" fillId="0" borderId="1" xfId="44" applyNumberFormat="1" applyFont="1" applyBorder="1" applyAlignment="1">
      <alignment horizontal="center" vertical="top" wrapText="1"/>
    </xf>
    <xf numFmtId="49" fontId="11" fillId="0" borderId="42" xfId="44" applyNumberFormat="1" applyFont="1" applyBorder="1" applyAlignment="1">
      <alignment horizontal="center"/>
    </xf>
    <xf numFmtId="4" fontId="21" fillId="0" borderId="43" xfId="44" applyNumberFormat="1" applyFont="1" applyBorder="1" applyAlignment="1">
      <alignment horizontal="center"/>
    </xf>
    <xf numFmtId="4" fontId="21" fillId="0" borderId="28" xfId="44" applyNumberFormat="1" applyFont="1" applyBorder="1" applyAlignment="1">
      <alignment horizontal="center"/>
    </xf>
    <xf numFmtId="4" fontId="19" fillId="0" borderId="4" xfId="44" applyNumberFormat="1" applyFont="1" applyBorder="1" applyAlignment="1">
      <alignment horizontal="center"/>
    </xf>
    <xf numFmtId="4" fontId="19" fillId="0" borderId="5" xfId="44" applyNumberFormat="1" applyFont="1" applyBorder="1" applyAlignment="1">
      <alignment horizontal="center"/>
    </xf>
    <xf numFmtId="4" fontId="11" fillId="0" borderId="4" xfId="44" applyNumberFormat="1" applyFont="1" applyBorder="1" applyAlignment="1">
      <alignment horizontal="center"/>
    </xf>
    <xf numFmtId="4" fontId="11" fillId="0" borderId="5" xfId="44" applyNumberFormat="1" applyFont="1" applyBorder="1" applyAlignment="1">
      <alignment horizontal="center"/>
    </xf>
    <xf numFmtId="4" fontId="11" fillId="0" borderId="4" xfId="44" applyNumberFormat="1" applyFont="1" applyFill="1" applyBorder="1" applyAlignment="1">
      <alignment horizontal="center"/>
    </xf>
    <xf numFmtId="4" fontId="11" fillId="0" borderId="5" xfId="44" applyNumberFormat="1" applyFont="1" applyFill="1" applyBorder="1" applyAlignment="1">
      <alignment horizontal="center"/>
    </xf>
    <xf numFmtId="4" fontId="11" fillId="0" borderId="45" xfId="44" applyNumberFormat="1" applyFont="1" applyBorder="1" applyAlignment="1">
      <alignment horizontal="center"/>
    </xf>
    <xf numFmtId="4" fontId="11" fillId="0" borderId="31" xfId="44" applyNumberFormat="1" applyFont="1" applyBorder="1" applyAlignment="1">
      <alignment horizontal="center"/>
    </xf>
    <xf numFmtId="4" fontId="11" fillId="0" borderId="43" xfId="44" applyNumberFormat="1" applyFont="1" applyFill="1" applyBorder="1" applyAlignment="1">
      <alignment horizontal="center"/>
    </xf>
    <xf numFmtId="4" fontId="11" fillId="0" borderId="28" xfId="44" applyNumberFormat="1" applyFont="1" applyFill="1" applyBorder="1" applyAlignment="1">
      <alignment horizontal="center"/>
    </xf>
    <xf numFmtId="4" fontId="11" fillId="0" borderId="14" xfId="44" applyNumberFormat="1" applyFont="1" applyBorder="1" applyAlignment="1">
      <alignment horizontal="center"/>
    </xf>
    <xf numFmtId="4" fontId="11" fillId="0" borderId="13" xfId="44" applyNumberFormat="1" applyFont="1" applyBorder="1" applyAlignment="1">
      <alignment horizontal="center"/>
    </xf>
    <xf numFmtId="4" fontId="11" fillId="0" borderId="16" xfId="44" applyNumberFormat="1" applyFont="1" applyBorder="1" applyAlignment="1">
      <alignment horizontal="center"/>
    </xf>
    <xf numFmtId="4" fontId="11" fillId="0" borderId="1" xfId="44" applyNumberFormat="1" applyFont="1" applyBorder="1" applyAlignment="1">
      <alignment horizontal="center"/>
    </xf>
    <xf numFmtId="4" fontId="11" fillId="0" borderId="47" xfId="44" applyNumberFormat="1" applyFont="1" applyBorder="1" applyAlignment="1">
      <alignment horizontal="center"/>
    </xf>
    <xf numFmtId="4" fontId="11" fillId="0" borderId="36" xfId="44" applyNumberFormat="1" applyFont="1" applyBorder="1" applyAlignment="1">
      <alignment horizontal="center"/>
    </xf>
    <xf numFmtId="49" fontId="11" fillId="0" borderId="5" xfId="44" applyNumberFormat="1" applyFont="1" applyBorder="1" applyAlignment="1">
      <alignment horizontal="left"/>
    </xf>
    <xf numFmtId="0" fontId="11" fillId="0" borderId="13" xfId="44" applyNumberFormat="1" applyFont="1" applyBorder="1" applyAlignment="1">
      <alignment horizontal="left"/>
    </xf>
    <xf numFmtId="0" fontId="11" fillId="0" borderId="15" xfId="44" applyNumberFormat="1" applyFont="1" applyBorder="1" applyAlignment="1">
      <alignment horizontal="left"/>
    </xf>
    <xf numFmtId="0" fontId="11" fillId="0" borderId="17" xfId="44" applyNumberFormat="1" applyFont="1" applyBorder="1" applyAlignment="1">
      <alignment horizontal="center" vertical="top" wrapText="1"/>
    </xf>
    <xf numFmtId="4" fontId="21" fillId="0" borderId="42" xfId="44" applyNumberFormat="1" applyFont="1" applyBorder="1" applyAlignment="1">
      <alignment horizontal="center"/>
    </xf>
    <xf numFmtId="4" fontId="19" fillId="0" borderId="6" xfId="44" applyNumberFormat="1" applyFont="1" applyBorder="1" applyAlignment="1">
      <alignment horizontal="center"/>
    </xf>
    <xf numFmtId="4" fontId="11" fillId="0" borderId="6" xfId="44" applyNumberFormat="1" applyFont="1" applyBorder="1" applyAlignment="1">
      <alignment horizontal="center"/>
    </xf>
    <xf numFmtId="4" fontId="11" fillId="0" borderId="6" xfId="44" applyNumberFormat="1" applyFont="1" applyFill="1" applyBorder="1" applyAlignment="1">
      <alignment horizontal="center"/>
    </xf>
    <xf numFmtId="4" fontId="11" fillId="0" borderId="44" xfId="44" applyNumberFormat="1" applyFont="1" applyBorder="1" applyAlignment="1">
      <alignment horizontal="center"/>
    </xf>
    <xf numFmtId="4" fontId="11" fillId="0" borderId="42" xfId="44" applyNumberFormat="1" applyFont="1" applyFill="1" applyBorder="1" applyAlignment="1">
      <alignment horizontal="center"/>
    </xf>
    <xf numFmtId="4" fontId="11" fillId="0" borderId="15" xfId="44" applyNumberFormat="1" applyFont="1" applyBorder="1" applyAlignment="1">
      <alignment horizontal="center"/>
    </xf>
    <xf numFmtId="4" fontId="11" fillId="0" borderId="17" xfId="44" applyNumberFormat="1" applyFont="1" applyBorder="1" applyAlignment="1">
      <alignment horizontal="center"/>
    </xf>
    <xf numFmtId="4" fontId="11" fillId="0" borderId="46" xfId="44" applyNumberFormat="1" applyFont="1" applyBorder="1" applyAlignment="1">
      <alignment horizontal="center"/>
    </xf>
    <xf numFmtId="4" fontId="11" fillId="0" borderId="0" xfId="44" applyNumberFormat="1" applyFont="1" applyBorder="1" applyAlignment="1">
      <alignment horizontal="left"/>
    </xf>
    <xf numFmtId="4" fontId="19" fillId="0" borderId="48" xfId="44" applyNumberFormat="1" applyFont="1" applyBorder="1" applyAlignment="1">
      <alignment horizontal="center"/>
    </xf>
    <xf numFmtId="4" fontId="11" fillId="0" borderId="0" xfId="44" applyNumberFormat="1" applyFont="1" applyFill="1" applyBorder="1" applyAlignment="1">
      <alignment horizontal="left"/>
    </xf>
    <xf numFmtId="4" fontId="11" fillId="0" borderId="49" xfId="44" applyNumberFormat="1" applyFont="1" applyFill="1" applyBorder="1" applyAlignment="1">
      <alignment horizontal="center"/>
    </xf>
    <xf numFmtId="4" fontId="11" fillId="0" borderId="48" xfId="44" applyNumberFormat="1" applyFont="1" applyBorder="1" applyAlignment="1">
      <alignment horizontal="center"/>
    </xf>
    <xf numFmtId="4" fontId="11" fillId="0" borderId="32" xfId="44" applyNumberFormat="1" applyFont="1" applyBorder="1" applyAlignment="1">
      <alignment horizontal="center"/>
    </xf>
    <xf numFmtId="4" fontId="11" fillId="0" borderId="50" xfId="44" applyNumberFormat="1" applyFont="1" applyBorder="1" applyAlignment="1">
      <alignment horizontal="center"/>
    </xf>
    <xf numFmtId="4" fontId="11" fillId="0" borderId="51" xfId="44" applyNumberFormat="1" applyFont="1" applyBorder="1" applyAlignment="1">
      <alignment horizontal="center"/>
    </xf>
    <xf numFmtId="0" fontId="2" fillId="3" borderId="0" xfId="0" applyFont="1" applyFill="1"/>
    <xf numFmtId="0" fontId="2" fillId="4" borderId="0" xfId="0" applyFont="1" applyFill="1"/>
    <xf numFmtId="0" fontId="2" fillId="5" borderId="0" xfId="0" applyFont="1" applyFill="1"/>
    <xf numFmtId="0" fontId="2" fillId="6" borderId="0" xfId="0" applyFont="1" applyFill="1"/>
    <xf numFmtId="0" fontId="2" fillId="7" borderId="0" xfId="0" applyFont="1" applyFill="1"/>
    <xf numFmtId="0" fontId="1" fillId="6" borderId="0" xfId="0" applyFont="1" applyFill="1"/>
    <xf numFmtId="0" fontId="5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11" fillId="0" borderId="52" xfId="0" applyNumberFormat="1" applyFont="1" applyBorder="1" applyAlignment="1">
      <alignment horizontal="center" vertical="center"/>
    </xf>
    <xf numFmtId="0" fontId="11" fillId="0" borderId="53" xfId="0" applyNumberFormat="1" applyFont="1" applyBorder="1" applyAlignment="1">
      <alignment horizontal="center" vertical="center"/>
    </xf>
    <xf numFmtId="0" fontId="11" fillId="0" borderId="54" xfId="0" applyNumberFormat="1" applyFont="1" applyBorder="1" applyAlignment="1">
      <alignment horizontal="center" vertical="center" wrapText="1"/>
    </xf>
    <xf numFmtId="0" fontId="11" fillId="0" borderId="55" xfId="0" applyNumberFormat="1" applyFont="1" applyBorder="1" applyAlignment="1">
      <alignment horizontal="center" vertical="center"/>
    </xf>
    <xf numFmtId="0" fontId="11" fillId="0" borderId="0" xfId="0" applyNumberFormat="1" applyFont="1" applyBorder="1" applyAlignment="1">
      <alignment horizontal="center" vertical="center"/>
    </xf>
    <xf numFmtId="0" fontId="11" fillId="0" borderId="26" xfId="0" applyNumberFormat="1" applyFont="1" applyBorder="1" applyAlignment="1">
      <alignment horizontal="center" vertical="center" wrapText="1"/>
    </xf>
    <xf numFmtId="0" fontId="11" fillId="0" borderId="34" xfId="0" applyNumberFormat="1" applyFont="1" applyBorder="1" applyAlignment="1">
      <alignment horizontal="center" vertical="center"/>
    </xf>
    <xf numFmtId="0" fontId="11" fillId="0" borderId="1" xfId="0" applyNumberFormat="1" applyFont="1" applyBorder="1" applyAlignment="1">
      <alignment horizontal="center" vertical="center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29" xfId="0" applyNumberFormat="1" applyFont="1" applyBorder="1" applyAlignment="1">
      <alignment horizontal="center" vertical="top"/>
    </xf>
    <xf numFmtId="49" fontId="11" fillId="0" borderId="5" xfId="0" applyNumberFormat="1" applyFont="1" applyBorder="1" applyAlignment="1">
      <alignment horizontal="center" vertical="top"/>
    </xf>
    <xf numFmtId="49" fontId="11" fillId="0" borderId="14" xfId="0" applyNumberFormat="1" applyFont="1" applyBorder="1" applyAlignment="1">
      <alignment horizontal="center" vertical="top"/>
    </xf>
    <xf numFmtId="0" fontId="11" fillId="0" borderId="29" xfId="0" applyNumberFormat="1" applyFont="1" applyBorder="1" applyAlignment="1">
      <alignment horizontal="left"/>
    </xf>
    <xf numFmtId="0" fontId="11" fillId="0" borderId="5" xfId="0" applyNumberFormat="1" applyFont="1" applyBorder="1" applyAlignment="1">
      <alignment horizontal="left"/>
    </xf>
    <xf numFmtId="49" fontId="11" fillId="0" borderId="27" xfId="0" applyNumberFormat="1" applyFont="1" applyBorder="1" applyAlignment="1">
      <alignment horizontal="center"/>
    </xf>
    <xf numFmtId="49" fontId="11" fillId="0" borderId="29" xfId="0" applyNumberFormat="1" applyFont="1" applyBorder="1" applyAlignment="1">
      <alignment horizontal="center"/>
    </xf>
    <xf numFmtId="0" fontId="19" fillId="3" borderId="29" xfId="0" applyNumberFormat="1" applyFont="1" applyFill="1" applyBorder="1" applyAlignment="1">
      <alignment horizontal="left"/>
    </xf>
    <xf numFmtId="0" fontId="19" fillId="3" borderId="5" xfId="0" applyNumberFormat="1" applyFont="1" applyFill="1" applyBorder="1" applyAlignment="1">
      <alignment horizontal="left"/>
    </xf>
    <xf numFmtId="49" fontId="19" fillId="3" borderId="29" xfId="0" applyNumberFormat="1" applyFont="1" applyFill="1" applyBorder="1" applyAlignment="1">
      <alignment horizontal="center"/>
    </xf>
    <xf numFmtId="0" fontId="11" fillId="0" borderId="29" xfId="0" applyNumberFormat="1" applyFont="1" applyBorder="1" applyAlignment="1">
      <alignment horizontal="left" wrapText="1" indent="1"/>
    </xf>
    <xf numFmtId="0" fontId="11" fillId="0" borderId="5" xfId="0" applyNumberFormat="1" applyFont="1" applyBorder="1" applyAlignment="1">
      <alignment horizontal="left" indent="1"/>
    </xf>
    <xf numFmtId="0" fontId="11" fillId="0" borderId="33" xfId="0" applyNumberFormat="1" applyFont="1" applyBorder="1" applyAlignment="1">
      <alignment horizontal="left" indent="2"/>
    </xf>
    <xf numFmtId="0" fontId="11" fillId="0" borderId="13" xfId="0" applyNumberFormat="1" applyFont="1" applyBorder="1" applyAlignment="1">
      <alignment horizontal="left" indent="2"/>
    </xf>
    <xf numFmtId="49" fontId="11" fillId="0" borderId="33" xfId="0" applyNumberFormat="1" applyFont="1" applyBorder="1" applyAlignment="1">
      <alignment horizontal="center"/>
    </xf>
    <xf numFmtId="0" fontId="11" fillId="0" borderId="34" xfId="0" applyNumberFormat="1" applyFont="1" applyBorder="1" applyAlignment="1">
      <alignment horizontal="left" indent="2"/>
    </xf>
    <xf numFmtId="0" fontId="11" fillId="0" borderId="1" xfId="0" applyNumberFormat="1" applyFont="1" applyBorder="1" applyAlignment="1">
      <alignment horizontal="left" indent="2"/>
    </xf>
    <xf numFmtId="49" fontId="11" fillId="0" borderId="55" xfId="0" applyNumberFormat="1" applyFont="1" applyBorder="1" applyAlignment="1">
      <alignment horizontal="center"/>
    </xf>
    <xf numFmtId="0" fontId="11" fillId="0" borderId="34" xfId="0" applyNumberFormat="1" applyFont="1" applyBorder="1" applyAlignment="1">
      <alignment horizontal="left" wrapText="1" indent="1"/>
    </xf>
    <xf numFmtId="0" fontId="11" fillId="0" borderId="1" xfId="0" applyNumberFormat="1" applyFont="1" applyBorder="1" applyAlignment="1">
      <alignment horizontal="left" indent="1"/>
    </xf>
    <xf numFmtId="0" fontId="11" fillId="0" borderId="29" xfId="0" applyNumberFormat="1" applyFont="1" applyBorder="1" applyAlignment="1">
      <alignment horizontal="left" wrapText="1" indent="3"/>
    </xf>
    <xf numFmtId="0" fontId="11" fillId="0" borderId="5" xfId="0" applyNumberFormat="1" applyFont="1" applyBorder="1" applyAlignment="1">
      <alignment horizontal="left" indent="3"/>
    </xf>
    <xf numFmtId="0" fontId="11" fillId="0" borderId="29" xfId="0" applyNumberFormat="1" applyFont="1" applyBorder="1" applyAlignment="1">
      <alignment horizontal="center" wrapText="1"/>
    </xf>
    <xf numFmtId="0" fontId="11" fillId="0" borderId="5" xfId="0" applyNumberFormat="1" applyFont="1" applyBorder="1" applyAlignment="1">
      <alignment horizontal="center" wrapText="1"/>
    </xf>
    <xf numFmtId="0" fontId="11" fillId="0" borderId="48" xfId="0" applyNumberFormat="1" applyFont="1" applyBorder="1" applyAlignment="1">
      <alignment horizontal="center" wrapText="1"/>
    </xf>
    <xf numFmtId="49" fontId="11" fillId="0" borderId="34" xfId="0" applyNumberFormat="1" applyFont="1" applyBorder="1" applyAlignment="1">
      <alignment horizontal="center"/>
    </xf>
    <xf numFmtId="0" fontId="11" fillId="0" borderId="33" xfId="0" applyNumberFormat="1" applyFont="1" applyBorder="1" applyAlignment="1">
      <alignment horizontal="left" indent="3"/>
    </xf>
    <xf numFmtId="0" fontId="11" fillId="0" borderId="13" xfId="0" applyNumberFormat="1" applyFont="1" applyBorder="1" applyAlignment="1">
      <alignment horizontal="left" indent="3"/>
    </xf>
    <xf numFmtId="0" fontId="11" fillId="0" borderId="34" xfId="0" applyNumberFormat="1" applyFont="1" applyBorder="1" applyAlignment="1">
      <alignment horizontal="left" indent="3"/>
    </xf>
    <xf numFmtId="0" fontId="11" fillId="0" borderId="1" xfId="0" applyNumberFormat="1" applyFont="1" applyBorder="1" applyAlignment="1">
      <alignment horizontal="left" indent="3"/>
    </xf>
    <xf numFmtId="0" fontId="11" fillId="0" borderId="34" xfId="0" applyNumberFormat="1" applyFont="1" applyBorder="1" applyAlignment="1">
      <alignment horizontal="left" wrapText="1" indent="3"/>
    </xf>
    <xf numFmtId="0" fontId="11" fillId="6" borderId="34" xfId="0" applyNumberFormat="1" applyFont="1" applyFill="1" applyBorder="1" applyAlignment="1"/>
    <xf numFmtId="0" fontId="11" fillId="6" borderId="1" xfId="0" applyNumberFormat="1" applyFont="1" applyFill="1" applyBorder="1" applyAlignment="1"/>
    <xf numFmtId="0" fontId="11" fillId="6" borderId="29" xfId="0" applyNumberFormat="1" applyFont="1" applyFill="1" applyBorder="1" applyAlignment="1"/>
    <xf numFmtId="0" fontId="11" fillId="6" borderId="5" xfId="0" applyNumberFormat="1" applyFont="1" applyFill="1" applyBorder="1" applyAlignment="1"/>
    <xf numFmtId="0" fontId="11" fillId="0" borderId="29" xfId="0" applyNumberFormat="1" applyFont="1" applyBorder="1" applyAlignment="1"/>
    <xf numFmtId="0" fontId="11" fillId="0" borderId="5" xfId="0" applyNumberFormat="1" applyFont="1" applyBorder="1" applyAlignment="1"/>
    <xf numFmtId="0" fontId="11" fillId="0" borderId="34" xfId="0" applyNumberFormat="1" applyFont="1" applyBorder="1" applyAlignment="1">
      <alignment wrapText="1"/>
    </xf>
    <xf numFmtId="0" fontId="19" fillId="4" borderId="29" xfId="0" applyNumberFormat="1" applyFont="1" applyFill="1" applyBorder="1" applyAlignment="1">
      <alignment horizontal="left"/>
    </xf>
    <xf numFmtId="0" fontId="19" fillId="4" borderId="5" xfId="0" applyNumberFormat="1" applyFont="1" applyFill="1" applyBorder="1" applyAlignment="1">
      <alignment horizontal="left"/>
    </xf>
    <xf numFmtId="49" fontId="19" fillId="4" borderId="29" xfId="0" applyNumberFormat="1" applyFont="1" applyFill="1" applyBorder="1" applyAlignment="1">
      <alignment horizontal="center"/>
    </xf>
    <xf numFmtId="0" fontId="11" fillId="5" borderId="29" xfId="0" applyNumberFormat="1" applyFont="1" applyFill="1" applyBorder="1" applyAlignment="1">
      <alignment horizontal="left" wrapText="1" indent="2"/>
    </xf>
    <xf numFmtId="0" fontId="11" fillId="5" borderId="5" xfId="0" applyNumberFormat="1" applyFont="1" applyFill="1" applyBorder="1" applyAlignment="1">
      <alignment horizontal="left" indent="2"/>
    </xf>
    <xf numFmtId="49" fontId="11" fillId="5" borderId="29" xfId="0" applyNumberFormat="1" applyFont="1" applyFill="1" applyBorder="1" applyAlignment="1">
      <alignment horizontal="center"/>
    </xf>
    <xf numFmtId="0" fontId="23" fillId="0" borderId="0" xfId="0" applyFont="1" applyAlignment="1">
      <alignment horizontal="center"/>
    </xf>
    <xf numFmtId="0" fontId="18" fillId="6" borderId="0" xfId="0" applyNumberFormat="1" applyFont="1" applyFill="1" applyBorder="1" applyAlignment="1">
      <alignment horizontal="center"/>
    </xf>
    <xf numFmtId="0" fontId="23" fillId="0" borderId="0" xfId="0" applyFont="1" applyAlignment="1">
      <alignment horizontal="center" wrapText="1"/>
    </xf>
    <xf numFmtId="0" fontId="1" fillId="6" borderId="0" xfId="0" applyFont="1" applyFill="1" applyAlignment="1">
      <alignment wrapText="1"/>
    </xf>
    <xf numFmtId="0" fontId="18" fillId="6" borderId="0" xfId="0" applyNumberFormat="1" applyFont="1" applyFill="1" applyBorder="1" applyAlignment="1">
      <alignment horizontal="center" vertical="top" wrapText="1"/>
    </xf>
    <xf numFmtId="0" fontId="24" fillId="0" borderId="0" xfId="0" applyFont="1" applyAlignment="1">
      <alignment horizontal="center"/>
    </xf>
    <xf numFmtId="0" fontId="23" fillId="0" borderId="0" xfId="0" applyFont="1" applyAlignment="1">
      <alignment horizontal="center" vertical="top"/>
    </xf>
    <xf numFmtId="0" fontId="25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right"/>
    </xf>
    <xf numFmtId="0" fontId="23" fillId="0" borderId="0" xfId="0" applyFont="1" applyAlignment="1">
      <alignment horizontal="right" vertical="top"/>
    </xf>
    <xf numFmtId="0" fontId="24" fillId="0" borderId="1" xfId="0" applyNumberFormat="1" applyFont="1" applyBorder="1" applyAlignment="1">
      <alignment horizontal="center"/>
    </xf>
    <xf numFmtId="0" fontId="26" fillId="0" borderId="0" xfId="0" applyNumberFormat="1" applyFont="1" applyBorder="1" applyAlignment="1">
      <alignment horizontal="left"/>
    </xf>
    <xf numFmtId="0" fontId="11" fillId="0" borderId="56" xfId="0" applyNumberFormat="1" applyFont="1" applyBorder="1" applyAlignment="1">
      <alignment horizontal="center" vertical="center"/>
    </xf>
    <xf numFmtId="0" fontId="11" fillId="0" borderId="0" xfId="0" applyNumberFormat="1" applyFont="1" applyBorder="1" applyAlignment="1">
      <alignment horizontal="left"/>
    </xf>
    <xf numFmtId="0" fontId="11" fillId="0" borderId="57" xfId="0" applyNumberFormat="1" applyFont="1" applyBorder="1" applyAlignment="1">
      <alignment horizontal="center" vertical="center"/>
    </xf>
    <xf numFmtId="0" fontId="11" fillId="0" borderId="0" xfId="0" applyNumberFormat="1" applyFont="1" applyBorder="1" applyAlignment="1">
      <alignment horizontal="right"/>
    </xf>
    <xf numFmtId="49" fontId="11" fillId="0" borderId="58" xfId="0" applyNumberFormat="1" applyFont="1" applyBorder="1" applyAlignment="1">
      <alignment horizontal="center"/>
    </xf>
    <xf numFmtId="49" fontId="11" fillId="0" borderId="59" xfId="0" applyNumberFormat="1" applyFont="1" applyBorder="1" applyAlignment="1">
      <alignment horizontal="center"/>
    </xf>
    <xf numFmtId="49" fontId="11" fillId="0" borderId="59" xfId="0" applyNumberFormat="1" applyFont="1" applyFill="1" applyBorder="1" applyAlignment="1">
      <alignment horizontal="center"/>
    </xf>
    <xf numFmtId="49" fontId="11" fillId="0" borderId="60" xfId="0" applyNumberFormat="1" applyFont="1" applyBorder="1" applyAlignment="1">
      <alignment horizontal="center"/>
    </xf>
    <xf numFmtId="0" fontId="11" fillId="0" borderId="61" xfId="0" applyNumberFormat="1" applyFont="1" applyBorder="1" applyAlignment="1">
      <alignment horizontal="center" vertical="center" wrapText="1"/>
    </xf>
    <xf numFmtId="0" fontId="11" fillId="0" borderId="61" xfId="0" applyNumberFormat="1" applyFont="1" applyBorder="1" applyAlignment="1">
      <alignment horizontal="center" vertical="center"/>
    </xf>
    <xf numFmtId="0" fontId="11" fillId="0" borderId="62" xfId="0" applyNumberFormat="1" applyFont="1" applyBorder="1" applyAlignment="1">
      <alignment horizontal="center" vertical="center"/>
    </xf>
    <xf numFmtId="0" fontId="11" fillId="0" borderId="2" xfId="0" applyNumberFormat="1" applyFont="1" applyBorder="1" applyAlignment="1">
      <alignment horizontal="center" vertical="center" wrapText="1"/>
    </xf>
    <xf numFmtId="0" fontId="11" fillId="0" borderId="2" xfId="0" applyNumberFormat="1" applyFont="1" applyBorder="1" applyAlignment="1">
      <alignment horizontal="right"/>
    </xf>
    <xf numFmtId="0" fontId="11" fillId="0" borderId="63" xfId="0" applyNumberFormat="1" applyFont="1" applyBorder="1" applyAlignment="1">
      <alignment horizontal="center" vertical="center" wrapText="1"/>
    </xf>
    <xf numFmtId="0" fontId="11" fillId="0" borderId="2" xfId="0" applyNumberFormat="1" applyFont="1" applyBorder="1" applyAlignment="1">
      <alignment horizontal="center" vertical="top" wrapText="1"/>
    </xf>
    <xf numFmtId="49" fontId="11" fillId="0" borderId="64" xfId="0" applyNumberFormat="1" applyFont="1" applyBorder="1" applyAlignment="1">
      <alignment horizontal="center" vertical="top"/>
    </xf>
    <xf numFmtId="49" fontId="11" fillId="0" borderId="43" xfId="0" applyNumberFormat="1" applyFont="1" applyBorder="1" applyAlignment="1">
      <alignment horizontal="center"/>
    </xf>
    <xf numFmtId="49" fontId="11" fillId="0" borderId="65" xfId="0" applyNumberFormat="1" applyFont="1" applyBorder="1" applyAlignment="1">
      <alignment horizontal="center"/>
    </xf>
    <xf numFmtId="2" fontId="11" fillId="0" borderId="61" xfId="0" applyNumberFormat="1" applyFont="1" applyBorder="1" applyAlignment="1">
      <alignment horizontal="center"/>
    </xf>
    <xf numFmtId="4" fontId="11" fillId="0" borderId="61" xfId="0" applyNumberFormat="1" applyFont="1" applyBorder="1" applyAlignment="1">
      <alignment horizontal="center"/>
    </xf>
    <xf numFmtId="0" fontId="11" fillId="0" borderId="62" xfId="0" applyNumberFormat="1" applyFont="1" applyBorder="1" applyAlignment="1">
      <alignment horizontal="center"/>
    </xf>
    <xf numFmtId="49" fontId="11" fillId="0" borderId="4" xfId="0" applyNumberFormat="1" applyFont="1" applyBorder="1" applyAlignment="1">
      <alignment horizontal="center"/>
    </xf>
    <xf numFmtId="49" fontId="11" fillId="0" borderId="18" xfId="0" applyNumberFormat="1" applyFont="1" applyBorder="1" applyAlignment="1">
      <alignment horizontal="center"/>
    </xf>
    <xf numFmtId="4" fontId="11" fillId="0" borderId="2" xfId="0" applyNumberFormat="1" applyFont="1" applyBorder="1" applyAlignment="1">
      <alignment horizontal="center"/>
    </xf>
    <xf numFmtId="0" fontId="11" fillId="0" borderId="63" xfId="0" applyNumberFormat="1" applyFont="1" applyBorder="1" applyAlignment="1">
      <alignment horizontal="center"/>
    </xf>
    <xf numFmtId="49" fontId="19" fillId="3" borderId="4" xfId="0" applyNumberFormat="1" applyFont="1" applyFill="1" applyBorder="1" applyAlignment="1">
      <alignment horizontal="center"/>
    </xf>
    <xf numFmtId="4" fontId="11" fillId="3" borderId="18" xfId="0" applyNumberFormat="1" applyFont="1" applyFill="1" applyBorder="1" applyAlignment="1">
      <alignment horizontal="center"/>
    </xf>
    <xf numFmtId="4" fontId="19" fillId="3" borderId="2" xfId="0" applyNumberFormat="1" applyFont="1" applyFill="1" applyBorder="1" applyAlignment="1">
      <alignment horizontal="center"/>
    </xf>
    <xf numFmtId="0" fontId="11" fillId="3" borderId="63" xfId="0" applyNumberFormat="1" applyFont="1" applyFill="1" applyBorder="1" applyAlignment="1">
      <alignment horizontal="center"/>
    </xf>
    <xf numFmtId="4" fontId="11" fillId="0" borderId="18" xfId="0" applyNumberFormat="1" applyFont="1" applyBorder="1" applyAlignment="1">
      <alignment horizontal="center"/>
    </xf>
    <xf numFmtId="49" fontId="11" fillId="0" borderId="14" xfId="0" applyNumberFormat="1" applyFont="1" applyBorder="1" applyAlignment="1">
      <alignment horizontal="center"/>
    </xf>
    <xf numFmtId="49" fontId="11" fillId="0" borderId="26" xfId="0" applyNumberFormat="1" applyFont="1" applyBorder="1" applyAlignment="1">
      <alignment horizontal="center"/>
    </xf>
    <xf numFmtId="49" fontId="11" fillId="0" borderId="63" xfId="0" applyNumberFormat="1" applyFont="1" applyBorder="1" applyAlignment="1">
      <alignment horizontal="center"/>
    </xf>
    <xf numFmtId="4" fontId="11" fillId="8" borderId="2" xfId="0" applyNumberFormat="1" applyFont="1" applyFill="1" applyBorder="1" applyAlignment="1">
      <alignment horizontal="center"/>
    </xf>
    <xf numFmtId="49" fontId="11" fillId="0" borderId="16" xfId="0" applyNumberFormat="1" applyFont="1" applyBorder="1" applyAlignment="1">
      <alignment horizontal="center"/>
    </xf>
    <xf numFmtId="4" fontId="11" fillId="9" borderId="2" xfId="0" applyNumberFormat="1" applyFont="1" applyFill="1" applyBorder="1" applyAlignment="1">
      <alignment horizontal="center"/>
    </xf>
    <xf numFmtId="4" fontId="1" fillId="6" borderId="0" xfId="0" applyNumberFormat="1" applyFont="1" applyFill="1"/>
    <xf numFmtId="49" fontId="19" fillId="4" borderId="4" xfId="0" applyNumberFormat="1" applyFont="1" applyFill="1" applyBorder="1" applyAlignment="1">
      <alignment horizontal="center"/>
    </xf>
    <xf numFmtId="4" fontId="11" fillId="4" borderId="18" xfId="0" applyNumberFormat="1" applyFont="1" applyFill="1" applyBorder="1" applyAlignment="1">
      <alignment horizontal="center"/>
    </xf>
    <xf numFmtId="4" fontId="19" fillId="4" borderId="2" xfId="0" applyNumberFormat="1" applyFont="1" applyFill="1" applyBorder="1" applyAlignment="1">
      <alignment horizontal="center"/>
    </xf>
    <xf numFmtId="0" fontId="11" fillId="4" borderId="4" xfId="0" applyNumberFormat="1" applyFont="1" applyFill="1" applyBorder="1" applyAlignment="1">
      <alignment horizontal="center"/>
    </xf>
    <xf numFmtId="49" fontId="27" fillId="0" borderId="65" xfId="0" applyNumberFormat="1" applyFont="1" applyFill="1" applyBorder="1" applyAlignment="1">
      <alignment horizontal="center"/>
    </xf>
    <xf numFmtId="4" fontId="1" fillId="6" borderId="61" xfId="0" applyNumberFormat="1" applyFont="1" applyFill="1" applyBorder="1"/>
    <xf numFmtId="49" fontId="11" fillId="5" borderId="4" xfId="0" applyNumberFormat="1" applyFont="1" applyFill="1" applyBorder="1" applyAlignment="1">
      <alignment horizontal="center"/>
    </xf>
    <xf numFmtId="4" fontId="11" fillId="5" borderId="18" xfId="0" applyNumberFormat="1" applyFont="1" applyFill="1" applyBorder="1" applyAlignment="1">
      <alignment horizontal="center"/>
    </xf>
    <xf numFmtId="4" fontId="11" fillId="5" borderId="2" xfId="0" applyNumberFormat="1" applyFont="1" applyFill="1" applyBorder="1" applyAlignment="1">
      <alignment horizontal="center"/>
    </xf>
    <xf numFmtId="0" fontId="11" fillId="5" borderId="4" xfId="0" applyNumberFormat="1" applyFont="1" applyFill="1" applyBorder="1" applyAlignment="1">
      <alignment horizontal="center"/>
    </xf>
    <xf numFmtId="49" fontId="27" fillId="10" borderId="18" xfId="0" applyNumberFormat="1" applyFont="1" applyFill="1" applyBorder="1" applyAlignment="1">
      <alignment horizontal="center"/>
    </xf>
    <xf numFmtId="4" fontId="1" fillId="6" borderId="2" xfId="0" applyNumberFormat="1" applyFont="1" applyFill="1" applyBorder="1"/>
    <xf numFmtId="49" fontId="21" fillId="0" borderId="18" xfId="0" applyNumberFormat="1" applyFont="1" applyBorder="1" applyAlignment="1">
      <alignment horizontal="center"/>
    </xf>
    <xf numFmtId="4" fontId="21" fillId="0" borderId="2" xfId="0" applyNumberFormat="1" applyFont="1" applyBorder="1" applyAlignment="1">
      <alignment horizontal="center"/>
    </xf>
    <xf numFmtId="0" fontId="11" fillId="0" borderId="4" xfId="0" applyNumberFormat="1" applyFont="1" applyBorder="1" applyAlignment="1">
      <alignment horizontal="center"/>
    </xf>
    <xf numFmtId="49" fontId="27" fillId="0" borderId="18" xfId="0" applyNumberFormat="1" applyFont="1" applyFill="1" applyBorder="1" applyAlignment="1">
      <alignment horizontal="center"/>
    </xf>
    <xf numFmtId="49" fontId="27" fillId="0" borderId="18" xfId="0" applyNumberFormat="1" applyFont="1" applyBorder="1" applyAlignment="1">
      <alignment horizontal="center"/>
    </xf>
    <xf numFmtId="49" fontId="11" fillId="0" borderId="18" xfId="0" applyNumberFormat="1" applyFont="1" applyFill="1" applyBorder="1" applyAlignment="1">
      <alignment horizontal="center"/>
    </xf>
    <xf numFmtId="4" fontId="1" fillId="0" borderId="2" xfId="0" applyNumberFormat="1" applyFont="1" applyFill="1" applyBorder="1"/>
    <xf numFmtId="4" fontId="1" fillId="2" borderId="2" xfId="0" applyNumberFormat="1" applyFont="1" applyFill="1" applyBorder="1"/>
    <xf numFmtId="0" fontId="2" fillId="6" borderId="0" xfId="0" applyFont="1" applyFill="1" applyBorder="1"/>
    <xf numFmtId="4" fontId="1" fillId="6" borderId="63" xfId="0" applyNumberFormat="1" applyFont="1" applyFill="1" applyBorder="1"/>
    <xf numFmtId="4" fontId="28" fillId="0" borderId="0" xfId="53" applyNumberFormat="1" applyBorder="1" applyProtection="1">
      <alignment horizontal="right" vertical="top" shrinkToFit="1"/>
    </xf>
    <xf numFmtId="0" fontId="11" fillId="0" borderId="34" xfId="0" applyNumberFormat="1" applyFont="1" applyBorder="1" applyAlignment="1">
      <alignment horizontal="center" wrapText="1"/>
    </xf>
    <xf numFmtId="0" fontId="11" fillId="0" borderId="1" xfId="0" applyNumberFormat="1" applyFont="1" applyBorder="1" applyAlignment="1">
      <alignment horizontal="center" wrapText="1"/>
    </xf>
    <xf numFmtId="0" fontId="11" fillId="5" borderId="34" xfId="0" applyNumberFormat="1" applyFont="1" applyFill="1" applyBorder="1" applyAlignment="1">
      <alignment horizontal="left" wrapText="1" indent="3"/>
    </xf>
    <xf numFmtId="0" fontId="11" fillId="5" borderId="1" xfId="0" applyNumberFormat="1" applyFont="1" applyFill="1" applyBorder="1" applyAlignment="1">
      <alignment horizontal="left" indent="3"/>
    </xf>
    <xf numFmtId="0" fontId="11" fillId="6" borderId="34" xfId="0" applyNumberFormat="1" applyFont="1" applyFill="1" applyBorder="1" applyAlignment="1">
      <alignment horizontal="left" wrapText="1" indent="3"/>
    </xf>
    <xf numFmtId="0" fontId="11" fillId="6" borderId="1" xfId="0" applyNumberFormat="1" applyFont="1" applyFill="1" applyBorder="1" applyAlignment="1">
      <alignment horizontal="left" indent="3"/>
    </xf>
    <xf numFmtId="49" fontId="11" fillId="6" borderId="29" xfId="0" applyNumberFormat="1" applyFont="1" applyFill="1" applyBorder="1" applyAlignment="1">
      <alignment horizontal="center"/>
    </xf>
    <xf numFmtId="0" fontId="11" fillId="5" borderId="29" xfId="0" applyNumberFormat="1" applyFont="1" applyFill="1" applyBorder="1" applyAlignment="1">
      <alignment horizontal="left" wrapText="1" indent="3"/>
    </xf>
    <xf numFmtId="0" fontId="11" fillId="5" borderId="5" xfId="0" applyNumberFormat="1" applyFont="1" applyFill="1" applyBorder="1" applyAlignment="1">
      <alignment horizontal="left" indent="3"/>
    </xf>
    <xf numFmtId="0" fontId="11" fillId="7" borderId="29" xfId="0" applyNumberFormat="1" applyFont="1" applyFill="1" applyBorder="1" applyAlignment="1">
      <alignment horizontal="left" wrapText="1" indent="4"/>
    </xf>
    <xf numFmtId="0" fontId="11" fillId="7" borderId="5" xfId="0" applyNumberFormat="1" applyFont="1" applyFill="1" applyBorder="1" applyAlignment="1">
      <alignment horizontal="left" indent="4"/>
    </xf>
    <xf numFmtId="49" fontId="11" fillId="7" borderId="29" xfId="0" applyNumberFormat="1" applyFont="1" applyFill="1" applyBorder="1" applyAlignment="1">
      <alignment horizontal="center"/>
    </xf>
    <xf numFmtId="0" fontId="11" fillId="7" borderId="34" xfId="0" applyNumberFormat="1" applyFont="1" applyFill="1" applyBorder="1" applyAlignment="1">
      <alignment horizontal="left" wrapText="1" indent="4"/>
    </xf>
    <xf numFmtId="0" fontId="11" fillId="7" borderId="1" xfId="0" applyNumberFormat="1" applyFont="1" applyFill="1" applyBorder="1" applyAlignment="1">
      <alignment horizontal="left" indent="4"/>
    </xf>
    <xf numFmtId="49" fontId="11" fillId="7" borderId="18" xfId="0" applyNumberFormat="1" applyFont="1" applyFill="1" applyBorder="1" applyAlignment="1">
      <alignment horizontal="center"/>
    </xf>
    <xf numFmtId="0" fontId="11" fillId="5" borderId="29" xfId="0" applyNumberFormat="1" applyFont="1" applyFill="1" applyBorder="1" applyAlignment="1">
      <alignment horizontal="left" wrapText="1" indent="1"/>
    </xf>
    <xf numFmtId="0" fontId="11" fillId="5" borderId="5" xfId="0" applyNumberFormat="1" applyFont="1" applyFill="1" applyBorder="1" applyAlignment="1">
      <alignment horizontal="left" indent="1"/>
    </xf>
    <xf numFmtId="0" fontId="11" fillId="7" borderId="29" xfId="0" applyNumberFormat="1" applyFont="1" applyFill="1" applyBorder="1" applyAlignment="1">
      <alignment horizontal="left" wrapText="1" indent="3"/>
    </xf>
    <xf numFmtId="0" fontId="11" fillId="7" borderId="5" xfId="0" applyNumberFormat="1" applyFont="1" applyFill="1" applyBorder="1" applyAlignment="1">
      <alignment horizontal="left" indent="3"/>
    </xf>
    <xf numFmtId="49" fontId="27" fillId="0" borderId="66" xfId="0" applyNumberFormat="1" applyFont="1" applyFill="1" applyBorder="1" applyAlignment="1">
      <alignment horizontal="center"/>
    </xf>
    <xf numFmtId="4" fontId="1" fillId="6" borderId="67" xfId="0" applyNumberFormat="1" applyFont="1" applyFill="1" applyBorder="1"/>
    <xf numFmtId="0" fontId="11" fillId="5" borderId="63" xfId="0" applyNumberFormat="1" applyFont="1" applyFill="1" applyBorder="1" applyAlignment="1">
      <alignment horizontal="center"/>
    </xf>
    <xf numFmtId="49" fontId="11" fillId="6" borderId="4" xfId="0" applyNumberFormat="1" applyFont="1" applyFill="1" applyBorder="1" applyAlignment="1">
      <alignment horizontal="center"/>
    </xf>
    <xf numFmtId="4" fontId="21" fillId="6" borderId="2" xfId="0" applyNumberFormat="1" applyFont="1" applyFill="1" applyBorder="1" applyAlignment="1">
      <alignment horizontal="center"/>
    </xf>
    <xf numFmtId="0" fontId="11" fillId="6" borderId="63" xfId="0" applyNumberFormat="1" applyFont="1" applyFill="1" applyBorder="1" applyAlignment="1">
      <alignment horizontal="center"/>
    </xf>
    <xf numFmtId="4" fontId="29" fillId="6" borderId="0" xfId="0" applyNumberFormat="1" applyFont="1" applyFill="1"/>
    <xf numFmtId="4" fontId="11" fillId="6" borderId="2" xfId="0" applyNumberFormat="1" applyFont="1" applyFill="1" applyBorder="1" applyAlignment="1">
      <alignment horizontal="center"/>
    </xf>
    <xf numFmtId="49" fontId="11" fillId="7" borderId="4" xfId="0" applyNumberFormat="1" applyFont="1" applyFill="1" applyBorder="1" applyAlignment="1">
      <alignment horizontal="center"/>
    </xf>
    <xf numFmtId="4" fontId="11" fillId="7" borderId="18" xfId="0" applyNumberFormat="1" applyFont="1" applyFill="1" applyBorder="1" applyAlignment="1">
      <alignment horizontal="center"/>
    </xf>
    <xf numFmtId="4" fontId="11" fillId="7" borderId="2" xfId="0" applyNumberFormat="1" applyFont="1" applyFill="1" applyBorder="1" applyAlignment="1">
      <alignment horizontal="center"/>
    </xf>
    <xf numFmtId="0" fontId="11" fillId="7" borderId="63" xfId="0" applyNumberFormat="1" applyFont="1" applyFill="1" applyBorder="1" applyAlignment="1">
      <alignment horizontal="center"/>
    </xf>
    <xf numFmtId="4" fontId="27" fillId="0" borderId="2" xfId="0" applyNumberFormat="1" applyFont="1" applyBorder="1" applyAlignment="1">
      <alignment horizontal="center"/>
    </xf>
    <xf numFmtId="49" fontId="11" fillId="7" borderId="63" xfId="0" applyNumberFormat="1" applyFont="1" applyFill="1" applyBorder="1" applyAlignment="1">
      <alignment horizontal="center"/>
    </xf>
    <xf numFmtId="4" fontId="1" fillId="6" borderId="68" xfId="0" applyNumberFormat="1" applyFont="1" applyFill="1" applyBorder="1"/>
    <xf numFmtId="49" fontId="11" fillId="7" borderId="34" xfId="0" applyNumberFormat="1" applyFont="1" applyFill="1" applyBorder="1" applyAlignment="1">
      <alignment horizontal="center"/>
    </xf>
    <xf numFmtId="0" fontId="11" fillId="7" borderId="34" xfId="0" applyNumberFormat="1" applyFont="1" applyFill="1" applyBorder="1" applyAlignment="1">
      <alignment horizontal="left" wrapText="1" indent="3"/>
    </xf>
    <xf numFmtId="0" fontId="11" fillId="7" borderId="1" xfId="0" applyNumberFormat="1" applyFont="1" applyFill="1" applyBorder="1" applyAlignment="1">
      <alignment horizontal="left" indent="3"/>
    </xf>
    <xf numFmtId="0" fontId="11" fillId="0" borderId="33" xfId="0" applyNumberFormat="1" applyFont="1" applyBorder="1" applyAlignment="1">
      <alignment horizontal="left" indent="4"/>
    </xf>
    <xf numFmtId="0" fontId="11" fillId="0" borderId="13" xfId="0" applyNumberFormat="1" applyFont="1" applyBorder="1" applyAlignment="1">
      <alignment horizontal="left" indent="4"/>
    </xf>
    <xf numFmtId="0" fontId="11" fillId="0" borderId="29" xfId="0" applyNumberFormat="1" applyFont="1" applyBorder="1" applyAlignment="1">
      <alignment horizontal="center"/>
    </xf>
    <xf numFmtId="0" fontId="11" fillId="0" borderId="5" xfId="0" applyNumberFormat="1" applyFont="1" applyBorder="1" applyAlignment="1">
      <alignment horizontal="center"/>
    </xf>
    <xf numFmtId="0" fontId="11" fillId="0" borderId="48" xfId="0" applyNumberFormat="1" applyFont="1" applyBorder="1" applyAlignment="1">
      <alignment horizontal="center"/>
    </xf>
    <xf numFmtId="49" fontId="11" fillId="7" borderId="16" xfId="0" applyNumberFormat="1" applyFont="1" applyFill="1" applyBorder="1" applyAlignment="1">
      <alignment horizontal="center"/>
    </xf>
    <xf numFmtId="4" fontId="19" fillId="0" borderId="2" xfId="0" applyNumberFormat="1" applyFont="1" applyBorder="1" applyAlignment="1">
      <alignment horizontal="center"/>
    </xf>
    <xf numFmtId="49" fontId="19" fillId="0" borderId="18" xfId="0" applyNumberFormat="1" applyFont="1" applyBorder="1" applyAlignment="1">
      <alignment horizontal="center"/>
    </xf>
    <xf numFmtId="0" fontId="11" fillId="5" borderId="29" xfId="0" applyNumberFormat="1" applyFont="1" applyFill="1" applyBorder="1" applyAlignment="1">
      <alignment horizontal="left"/>
    </xf>
    <xf numFmtId="0" fontId="11" fillId="5" borderId="5" xfId="0" applyNumberFormat="1" applyFont="1" applyFill="1" applyBorder="1" applyAlignment="1">
      <alignment horizontal="left"/>
    </xf>
    <xf numFmtId="0" fontId="11" fillId="5" borderId="48" xfId="0" applyNumberFormat="1" applyFont="1" applyFill="1" applyBorder="1" applyAlignment="1">
      <alignment horizontal="left"/>
    </xf>
    <xf numFmtId="49" fontId="11" fillId="5" borderId="33" xfId="0" applyNumberFormat="1" applyFont="1" applyFill="1" applyBorder="1" applyAlignment="1">
      <alignment horizontal="center"/>
    </xf>
    <xf numFmtId="0" fontId="11" fillId="0" borderId="29" xfId="0" applyNumberFormat="1" applyFont="1" applyBorder="1" applyAlignment="1">
      <alignment horizontal="left" wrapText="1"/>
    </xf>
    <xf numFmtId="0" fontId="11" fillId="0" borderId="48" xfId="0" applyNumberFormat="1" applyFont="1" applyBorder="1" applyAlignment="1">
      <alignment horizontal="left"/>
    </xf>
    <xf numFmtId="0" fontId="19" fillId="5" borderId="29" xfId="0" applyNumberFormat="1" applyFont="1" applyFill="1" applyBorder="1" applyAlignment="1">
      <alignment horizontal="left"/>
    </xf>
    <xf numFmtId="0" fontId="19" fillId="5" borderId="5" xfId="0" applyNumberFormat="1" applyFont="1" applyFill="1" applyBorder="1" applyAlignment="1">
      <alignment horizontal="left"/>
    </xf>
    <xf numFmtId="49" fontId="19" fillId="5" borderId="29" xfId="0" applyNumberFormat="1" applyFont="1" applyFill="1" applyBorder="1" applyAlignment="1">
      <alignment horizontal="center"/>
    </xf>
    <xf numFmtId="0" fontId="11" fillId="0" borderId="30" xfId="0" applyNumberFormat="1" applyFont="1" applyBorder="1" applyAlignment="1">
      <alignment horizontal="left" wrapText="1" indent="2"/>
    </xf>
    <xf numFmtId="0" fontId="11" fillId="0" borderId="31" xfId="0" applyNumberFormat="1" applyFont="1" applyBorder="1" applyAlignment="1">
      <alignment horizontal="left" indent="2"/>
    </xf>
    <xf numFmtId="49" fontId="11" fillId="0" borderId="30" xfId="0" applyNumberFormat="1" applyFont="1" applyBorder="1" applyAlignment="1">
      <alignment horizontal="center"/>
    </xf>
    <xf numFmtId="49" fontId="11" fillId="5" borderId="14" xfId="0" applyNumberFormat="1" applyFont="1" applyFill="1" applyBorder="1" applyAlignment="1">
      <alignment horizontal="center"/>
    </xf>
    <xf numFmtId="0" fontId="1" fillId="5" borderId="0" xfId="0" applyFont="1" applyFill="1"/>
    <xf numFmtId="49" fontId="19" fillId="5" borderId="4" xfId="0" applyNumberFormat="1" applyFont="1" applyFill="1" applyBorder="1" applyAlignment="1">
      <alignment horizontal="center"/>
    </xf>
    <xf numFmtId="49" fontId="11" fillId="0" borderId="45" xfId="0" applyNumberFormat="1" applyFont="1" applyBorder="1" applyAlignment="1">
      <alignment horizontal="center"/>
    </xf>
    <xf numFmtId="4" fontId="11" fillId="0" borderId="66" xfId="0" applyNumberFormat="1" applyFont="1" applyBorder="1" applyAlignment="1">
      <alignment horizontal="center"/>
    </xf>
    <xf numFmtId="4" fontId="11" fillId="0" borderId="67" xfId="0" applyNumberFormat="1" applyFont="1" applyBorder="1" applyAlignment="1">
      <alignment horizontal="center"/>
    </xf>
    <xf numFmtId="0" fontId="11" fillId="0" borderId="68" xfId="0" applyNumberFormat="1" applyFont="1" applyBorder="1" applyAlignment="1">
      <alignment horizontal="center"/>
    </xf>
    <xf numFmtId="0" fontId="2" fillId="3" borderId="0" xfId="0" applyNumberFormat="1" applyFont="1" applyFill="1"/>
    <xf numFmtId="0" fontId="2" fillId="4" borderId="0" xfId="0" applyNumberFormat="1" applyFont="1" applyFill="1"/>
    <xf numFmtId="0" fontId="2" fillId="5" borderId="0" xfId="0" applyNumberFormat="1" applyFont="1" applyFill="1"/>
    <xf numFmtId="0" fontId="2" fillId="6" borderId="0" xfId="0" applyNumberFormat="1" applyFont="1" applyFill="1"/>
    <xf numFmtId="0" fontId="2" fillId="7" borderId="0" xfId="0" applyNumberFormat="1" applyFont="1" applyFill="1"/>
    <xf numFmtId="0" fontId="1" fillId="6" borderId="0" xfId="0" applyNumberFormat="1" applyFont="1" applyFill="1"/>
    <xf numFmtId="0" fontId="2" fillId="0" borderId="0" xfId="0" applyNumberFormat="1" applyFont="1"/>
    <xf numFmtId="0" fontId="5" fillId="0" borderId="0" xfId="0" applyNumberFormat="1" applyFont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applyNumberFormat="1" applyFont="1"/>
    <xf numFmtId="0" fontId="11" fillId="0" borderId="29" xfId="0" applyNumberFormat="1" applyFont="1" applyBorder="1" applyAlignment="1">
      <alignment horizontal="center" vertical="top"/>
    </xf>
    <xf numFmtId="0" fontId="11" fillId="0" borderId="5" xfId="0" applyNumberFormat="1" applyFont="1" applyBorder="1" applyAlignment="1">
      <alignment horizontal="center" vertical="top"/>
    </xf>
    <xf numFmtId="0" fontId="11" fillId="0" borderId="14" xfId="0" applyNumberFormat="1" applyFont="1" applyBorder="1" applyAlignment="1">
      <alignment horizontal="center" vertical="top"/>
    </xf>
    <xf numFmtId="0" fontId="11" fillId="0" borderId="27" xfId="0" applyNumberFormat="1" applyFont="1" applyBorder="1" applyAlignment="1">
      <alignment horizontal="center"/>
    </xf>
    <xf numFmtId="0" fontId="19" fillId="3" borderId="29" xfId="0" applyNumberFormat="1" applyFont="1" applyFill="1" applyBorder="1" applyAlignment="1">
      <alignment horizontal="center"/>
    </xf>
    <xf numFmtId="0" fontId="11" fillId="0" borderId="33" xfId="0" applyNumberFormat="1" applyFont="1" applyBorder="1" applyAlignment="1">
      <alignment horizontal="center"/>
    </xf>
    <xf numFmtId="0" fontId="11" fillId="0" borderId="34" xfId="0" applyNumberFormat="1" applyFont="1" applyBorder="1" applyAlignment="1">
      <alignment horizontal="center"/>
    </xf>
    <xf numFmtId="0" fontId="11" fillId="0" borderId="34" xfId="0" applyNumberFormat="1" applyFont="1" applyBorder="1" applyAlignment="1"/>
    <xf numFmtId="0" fontId="19" fillId="4" borderId="29" xfId="0" applyNumberFormat="1" applyFont="1" applyFill="1" applyBorder="1" applyAlignment="1">
      <alignment horizontal="center"/>
    </xf>
    <xf numFmtId="0" fontId="11" fillId="5" borderId="29" xfId="0" applyNumberFormat="1" applyFont="1" applyFill="1" applyBorder="1" applyAlignment="1">
      <alignment horizontal="center"/>
    </xf>
    <xf numFmtId="0" fontId="11" fillId="6" borderId="29" xfId="0" applyNumberFormat="1" applyFont="1" applyFill="1" applyBorder="1" applyAlignment="1">
      <alignment horizontal="center"/>
    </xf>
    <xf numFmtId="0" fontId="23" fillId="0" borderId="0" xfId="0" applyNumberFormat="1" applyFont="1" applyAlignment="1">
      <alignment horizontal="center"/>
    </xf>
    <xf numFmtId="0" fontId="23" fillId="0" borderId="0" xfId="0" applyNumberFormat="1" applyFont="1" applyAlignment="1">
      <alignment horizontal="center" wrapText="1"/>
    </xf>
    <xf numFmtId="0" fontId="24" fillId="0" borderId="0" xfId="0" applyNumberFormat="1" applyFont="1" applyAlignment="1">
      <alignment horizontal="center"/>
    </xf>
    <xf numFmtId="0" fontId="23" fillId="0" borderId="0" xfId="0" applyNumberFormat="1" applyFont="1" applyAlignment="1">
      <alignment horizontal="center" vertical="top"/>
    </xf>
    <xf numFmtId="0" fontId="30" fillId="0" borderId="0" xfId="0" applyNumberFormat="1" applyFont="1" applyAlignment="1">
      <alignment horizontal="center" wrapText="1"/>
    </xf>
    <xf numFmtId="0" fontId="24" fillId="0" borderId="0" xfId="0" applyNumberFormat="1" applyFont="1" applyAlignment="1">
      <alignment horizontal="center" wrapText="1"/>
    </xf>
    <xf numFmtId="0" fontId="24" fillId="0" borderId="0" xfId="0" applyNumberFormat="1" applyFont="1" applyAlignment="1">
      <alignment horizontal="right"/>
    </xf>
    <xf numFmtId="0" fontId="23" fillId="0" borderId="0" xfId="0" applyNumberFormat="1" applyFont="1" applyAlignment="1">
      <alignment horizontal="right" vertical="top"/>
    </xf>
    <xf numFmtId="0" fontId="11" fillId="0" borderId="59" xfId="0" applyNumberFormat="1" applyFont="1" applyBorder="1" applyAlignment="1">
      <alignment horizontal="center"/>
    </xf>
    <xf numFmtId="49" fontId="11" fillId="2" borderId="59" xfId="0" applyNumberFormat="1" applyFont="1" applyFill="1" applyBorder="1" applyAlignment="1">
      <alignment horizontal="center"/>
    </xf>
    <xf numFmtId="0" fontId="11" fillId="0" borderId="60" xfId="0" applyNumberFormat="1" applyFont="1" applyBorder="1" applyAlignment="1">
      <alignment horizontal="center"/>
    </xf>
    <xf numFmtId="0" fontId="11" fillId="0" borderId="64" xfId="0" applyNumberFormat="1" applyFont="1" applyBorder="1" applyAlignment="1">
      <alignment horizontal="center" vertical="top"/>
    </xf>
    <xf numFmtId="0" fontId="11" fillId="0" borderId="43" xfId="0" applyNumberFormat="1" applyFont="1" applyBorder="1" applyAlignment="1">
      <alignment horizontal="center"/>
    </xf>
    <xf numFmtId="0" fontId="11" fillId="0" borderId="65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center"/>
    </xf>
    <xf numFmtId="0" fontId="19" fillId="3" borderId="4" xfId="0" applyNumberFormat="1" applyFont="1" applyFill="1" applyBorder="1" applyAlignment="1">
      <alignment horizontal="center"/>
    </xf>
    <xf numFmtId="0" fontId="11" fillId="3" borderId="18" xfId="0" applyNumberFormat="1" applyFont="1" applyFill="1" applyBorder="1" applyAlignment="1">
      <alignment horizontal="center"/>
    </xf>
    <xf numFmtId="0" fontId="11" fillId="0" borderId="64" xfId="0" applyNumberFormat="1" applyFont="1" applyBorder="1" applyAlignment="1">
      <alignment horizontal="center"/>
    </xf>
    <xf numFmtId="0" fontId="11" fillId="0" borderId="69" xfId="0" applyNumberFormat="1" applyFont="1" applyBorder="1" applyAlignment="1">
      <alignment horizontal="center"/>
    </xf>
    <xf numFmtId="0" fontId="11" fillId="0" borderId="16" xfId="0" applyNumberFormat="1" applyFont="1" applyBorder="1" applyAlignment="1">
      <alignment horizontal="center"/>
    </xf>
    <xf numFmtId="0" fontId="11" fillId="0" borderId="14" xfId="0" applyNumberFormat="1" applyFont="1" applyBorder="1" applyAlignment="1">
      <alignment horizontal="center"/>
    </xf>
    <xf numFmtId="0" fontId="19" fillId="4" borderId="4" xfId="0" applyNumberFormat="1" applyFont="1" applyFill="1" applyBorder="1" applyAlignment="1">
      <alignment horizontal="center"/>
    </xf>
    <xf numFmtId="0" fontId="11" fillId="4" borderId="18" xfId="0" applyNumberFormat="1" applyFont="1" applyFill="1" applyBorder="1" applyAlignment="1">
      <alignment horizontal="center"/>
    </xf>
    <xf numFmtId="0" fontId="11" fillId="4" borderId="63" xfId="0" applyNumberFormat="1" applyFont="1" applyFill="1" applyBorder="1" applyAlignment="1">
      <alignment horizontal="center"/>
    </xf>
    <xf numFmtId="0" fontId="11" fillId="5" borderId="18" xfId="0" applyNumberFormat="1" applyFont="1" applyFill="1" applyBorder="1" applyAlignment="1">
      <alignment horizontal="center"/>
    </xf>
    <xf numFmtId="0" fontId="21" fillId="0" borderId="18" xfId="0" applyNumberFormat="1" applyFont="1" applyBorder="1" applyAlignment="1">
      <alignment horizontal="center"/>
    </xf>
    <xf numFmtId="0" fontId="11" fillId="6" borderId="4" xfId="0" applyNumberFormat="1" applyFont="1" applyFill="1" applyBorder="1" applyAlignment="1">
      <alignment horizontal="center"/>
    </xf>
    <xf numFmtId="0" fontId="11" fillId="7" borderId="29" xfId="0" applyNumberFormat="1" applyFont="1" applyFill="1" applyBorder="1" applyAlignment="1">
      <alignment horizontal="center"/>
    </xf>
    <xf numFmtId="0" fontId="11" fillId="7" borderId="18" xfId="0" applyNumberFormat="1" applyFont="1" applyFill="1" applyBorder="1" applyAlignment="1">
      <alignment horizontal="center"/>
    </xf>
    <xf numFmtId="0" fontId="11" fillId="0" borderId="55" xfId="0" applyNumberFormat="1" applyFont="1" applyBorder="1" applyAlignment="1">
      <alignment horizontal="center"/>
    </xf>
    <xf numFmtId="0" fontId="11" fillId="7" borderId="34" xfId="0" applyNumberFormat="1" applyFont="1" applyFill="1" applyBorder="1" applyAlignment="1">
      <alignment horizontal="center"/>
    </xf>
    <xf numFmtId="0" fontId="11" fillId="0" borderId="5" xfId="0" applyNumberFormat="1" applyFont="1" applyBorder="1" applyAlignment="1">
      <alignment horizontal="left" wrapText="1"/>
    </xf>
    <xf numFmtId="0" fontId="11" fillId="0" borderId="48" xfId="0" applyNumberFormat="1" applyFont="1" applyBorder="1" applyAlignment="1">
      <alignment horizontal="left" wrapText="1"/>
    </xf>
    <xf numFmtId="0" fontId="11" fillId="5" borderId="33" xfId="0" applyNumberFormat="1" applyFont="1" applyFill="1" applyBorder="1" applyAlignment="1">
      <alignment horizontal="center"/>
    </xf>
    <xf numFmtId="0" fontId="19" fillId="5" borderId="29" xfId="0" applyNumberFormat="1" applyFont="1" applyFill="1" applyBorder="1" applyAlignment="1">
      <alignment horizontal="center"/>
    </xf>
    <xf numFmtId="0" fontId="11" fillId="0" borderId="30" xfId="0" applyNumberFormat="1" applyFont="1" applyBorder="1" applyAlignment="1">
      <alignment horizontal="center"/>
    </xf>
    <xf numFmtId="0" fontId="11" fillId="7" borderId="4" xfId="0" applyNumberFormat="1" applyFont="1" applyFill="1" applyBorder="1" applyAlignment="1">
      <alignment horizontal="center"/>
    </xf>
    <xf numFmtId="0" fontId="11" fillId="0" borderId="26" xfId="0" applyNumberFormat="1" applyFont="1" applyBorder="1" applyAlignment="1">
      <alignment horizontal="center"/>
    </xf>
    <xf numFmtId="0" fontId="11" fillId="7" borderId="16" xfId="0" applyNumberFormat="1" applyFont="1" applyFill="1" applyBorder="1" applyAlignment="1">
      <alignment horizontal="center"/>
    </xf>
    <xf numFmtId="0" fontId="11" fillId="7" borderId="2" xfId="0" applyNumberFormat="1" applyFont="1" applyFill="1" applyBorder="1" applyAlignment="1">
      <alignment horizontal="center"/>
    </xf>
    <xf numFmtId="0" fontId="11" fillId="5" borderId="14" xfId="0" applyNumberFormat="1" applyFont="1" applyFill="1" applyBorder="1" applyAlignment="1">
      <alignment horizontal="center"/>
    </xf>
    <xf numFmtId="0" fontId="11" fillId="0" borderId="2" xfId="0" applyNumberFormat="1" applyFont="1" applyBorder="1" applyAlignment="1">
      <alignment horizontal="center"/>
    </xf>
    <xf numFmtId="0" fontId="27" fillId="0" borderId="18" xfId="0" applyNumberFormat="1" applyFont="1" applyBorder="1" applyAlignment="1">
      <alignment horizontal="center"/>
    </xf>
    <xf numFmtId="0" fontId="19" fillId="5" borderId="4" xfId="0" applyNumberFormat="1" applyFont="1" applyFill="1" applyBorder="1" applyAlignment="1">
      <alignment horizontal="center"/>
    </xf>
    <xf numFmtId="0" fontId="11" fillId="0" borderId="45" xfId="0" applyNumberFormat="1" applyFont="1" applyBorder="1" applyAlignment="1">
      <alignment horizontal="center"/>
    </xf>
    <xf numFmtId="0" fontId="11" fillId="0" borderId="66" xfId="0" applyNumberFormat="1" applyFont="1" applyBorder="1" applyAlignment="1">
      <alignment horizontal="center"/>
    </xf>
  </cellXfs>
  <cellStyles count="56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Обычный 3" xfId="14"/>
    <cellStyle name="40% — Акцент4" xfId="15" builtinId="43"/>
    <cellStyle name="Открывавшаяся гиперссылка" xfId="16" builtinId="9"/>
    <cellStyle name="Примечание" xfId="17" builtinId="10"/>
    <cellStyle name="Предупреждающий текст" xfId="18" builtinId="11"/>
    <cellStyle name="Заголовок" xfId="19" builtinId="15"/>
    <cellStyle name="Пояснительный текст" xfId="20" builtinId="53"/>
    <cellStyle name="Заголовок 1" xfId="21" builtinId="16"/>
    <cellStyle name="Заголовок 2" xfId="22" builtinId="17"/>
    <cellStyle name="Обычный_субсидия" xfId="23"/>
    <cellStyle name="Заголовок 3" xfId="24" builtinId="18"/>
    <cellStyle name="Заголовок 4" xfId="25" builtinId="19"/>
    <cellStyle name="Ввод" xfId="26" builtinId="20"/>
    <cellStyle name="Проверить ячейку" xfId="27" builtinId="23"/>
    <cellStyle name="Вычисление" xfId="28" builtinId="22"/>
    <cellStyle name="Связанная ячейка" xfId="29" builtinId="24"/>
    <cellStyle name="Плохой" xfId="30" builtinId="27"/>
    <cellStyle name="Акцент5" xfId="31" builtinId="45"/>
    <cellStyle name="Нейтральный" xfId="32" builtinId="28"/>
    <cellStyle name="Акцент1" xfId="33" builtinId="29"/>
    <cellStyle name="20% — Акцент1" xfId="34" builtinId="30"/>
    <cellStyle name="40% — Акцент1" xfId="35" builtinId="31"/>
    <cellStyle name="20% — Акцент5" xfId="36" builtinId="46"/>
    <cellStyle name="60% — Акцент1" xfId="37" builtinId="32"/>
    <cellStyle name="Обычный_платные" xfId="38"/>
    <cellStyle name="Акцент2" xfId="39" builtinId="33"/>
    <cellStyle name="40% — Акцент2" xfId="40" builtinId="35"/>
    <cellStyle name="20% — Акцент6" xfId="41" builtinId="50"/>
    <cellStyle name="60% — Акцент2" xfId="42" builtinId="36"/>
    <cellStyle name="Акцент3" xfId="43" builtinId="37"/>
    <cellStyle name="Обычный 2" xfId="44"/>
    <cellStyle name="40% — Акцент3" xfId="45" builtinId="39"/>
    <cellStyle name="60% — Акцент3" xfId="46" builtinId="40"/>
    <cellStyle name="Акцент4" xfId="47" builtinId="41"/>
    <cellStyle name="20% — Акцент4" xfId="48" builtinId="42"/>
    <cellStyle name="60% — Акцент4" xfId="49" builtinId="44"/>
    <cellStyle name="60% — Акцент5" xfId="50" builtinId="48"/>
    <cellStyle name="Акцент6" xfId="51" builtinId="49"/>
    <cellStyle name="60% — Акцент6" xfId="52" builtinId="52"/>
    <cellStyle name="xl38" xfId="53"/>
    <cellStyle name="xl40" xfId="54"/>
    <cellStyle name="Обычный_субвенция" xfId="55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9" Type="http://schemas.openxmlformats.org/officeDocument/2006/relationships/sharedStrings" Target="sharedStrings.xml"/><Relationship Id="rId18" Type="http://schemas.openxmlformats.org/officeDocument/2006/relationships/styles" Target="styles.xml"/><Relationship Id="rId17" Type="http://schemas.openxmlformats.org/officeDocument/2006/relationships/theme" Target="theme/theme1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S115"/>
  <sheetViews>
    <sheetView view="pageBreakPreview" zoomScale="60" zoomScaleNormal="100" topLeftCell="A87" workbookViewId="0">
      <selection activeCell="K11" sqref="K11:N11"/>
    </sheetView>
  </sheetViews>
  <sheetFormatPr defaultColWidth="9.14285714285714" defaultRowHeight="15"/>
  <cols>
    <col min="1" max="1" width="9.14285714285714" style="526"/>
    <col min="2" max="9" width="9.14285714285714" style="529"/>
    <col min="10" max="10" width="14.7142857142857" style="529" customWidth="1"/>
    <col min="11" max="11" width="11.4285714285714" style="529" customWidth="1"/>
    <col min="12" max="13" width="11.1428571428571" style="529" customWidth="1"/>
    <col min="14" max="14" width="10.5714285714286" style="529" customWidth="1"/>
    <col min="15" max="67" width="9.14285714285714" style="526"/>
    <col min="68" max="16384" width="9.14285714285714" style="529"/>
  </cols>
  <sheetData>
    <row r="1" hidden="1" spans="11:67">
      <c r="K1" s="544" t="s">
        <v>0</v>
      </c>
      <c r="L1" s="544"/>
      <c r="M1" s="544"/>
      <c r="N1" s="544"/>
      <c r="O1" s="387"/>
      <c r="P1" s="387"/>
      <c r="Q1" s="387"/>
      <c r="R1" s="387"/>
      <c r="S1" s="387"/>
      <c r="T1" s="387"/>
      <c r="U1" s="387"/>
      <c r="V1" s="387"/>
      <c r="W1" s="387"/>
      <c r="X1" s="387"/>
      <c r="Y1" s="387"/>
      <c r="Z1" s="387"/>
      <c r="AA1" s="387"/>
      <c r="AB1" s="387"/>
      <c r="AC1" s="387"/>
      <c r="AD1" s="387"/>
      <c r="AE1" s="387"/>
      <c r="AF1" s="387"/>
      <c r="AG1" s="387"/>
      <c r="AH1" s="387"/>
      <c r="AI1" s="387"/>
      <c r="AJ1" s="387"/>
      <c r="AK1" s="387"/>
      <c r="AL1" s="387"/>
      <c r="AM1" s="387"/>
      <c r="AN1" s="387"/>
      <c r="AO1" s="387"/>
      <c r="AP1" s="387"/>
      <c r="AQ1" s="387"/>
      <c r="AR1" s="387"/>
      <c r="AS1" s="387"/>
      <c r="AT1" s="387"/>
      <c r="AU1" s="387"/>
      <c r="AV1" s="387"/>
      <c r="AW1" s="387"/>
      <c r="AX1" s="387"/>
      <c r="AY1" s="387"/>
      <c r="AZ1" s="387"/>
      <c r="BA1" s="387"/>
      <c r="BB1" s="387"/>
      <c r="BC1" s="387"/>
      <c r="BD1" s="387"/>
      <c r="BE1" s="387"/>
      <c r="BF1" s="387"/>
      <c r="BG1" s="387"/>
      <c r="BH1" s="387"/>
      <c r="BI1" s="387"/>
      <c r="BJ1" s="387"/>
      <c r="BK1" s="387"/>
      <c r="BL1" s="387"/>
      <c r="BM1" s="387"/>
      <c r="BN1" s="387"/>
      <c r="BO1" s="387"/>
    </row>
    <row r="2" ht="60" hidden="1" customHeight="1" spans="11:67">
      <c r="K2" s="545" t="s">
        <v>1</v>
      </c>
      <c r="L2" s="545"/>
      <c r="M2" s="545"/>
      <c r="N2" s="545"/>
      <c r="O2" s="390"/>
      <c r="P2" s="390"/>
      <c r="Q2" s="390"/>
      <c r="R2" s="390"/>
      <c r="S2" s="390"/>
      <c r="T2" s="390"/>
      <c r="U2" s="390"/>
      <c r="V2" s="390"/>
      <c r="W2" s="390"/>
      <c r="X2" s="390"/>
      <c r="Y2" s="390"/>
      <c r="Z2" s="390"/>
      <c r="AA2" s="390"/>
      <c r="AB2" s="390"/>
      <c r="AC2" s="390"/>
      <c r="AD2" s="390"/>
      <c r="AE2" s="390"/>
      <c r="AF2" s="390"/>
      <c r="AG2" s="390"/>
      <c r="AH2" s="390"/>
      <c r="AI2" s="390"/>
      <c r="AJ2" s="390"/>
      <c r="AK2" s="390"/>
      <c r="AL2" s="390"/>
      <c r="AM2" s="390"/>
      <c r="AN2" s="390"/>
      <c r="AO2" s="390"/>
      <c r="AP2" s="390"/>
      <c r="AQ2" s="390"/>
      <c r="AR2" s="390"/>
      <c r="AS2" s="390"/>
      <c r="AT2" s="390"/>
      <c r="AU2" s="390"/>
      <c r="AV2" s="390"/>
      <c r="AW2" s="390"/>
      <c r="AX2" s="390"/>
      <c r="AY2" s="390"/>
      <c r="AZ2" s="390"/>
      <c r="BA2" s="390"/>
      <c r="BB2" s="390"/>
      <c r="BC2" s="390"/>
      <c r="BD2" s="390"/>
      <c r="BE2" s="390"/>
      <c r="BF2" s="390"/>
      <c r="BG2" s="390"/>
      <c r="BH2" s="390"/>
      <c r="BI2" s="390"/>
      <c r="BJ2" s="390"/>
      <c r="BK2" s="390"/>
      <c r="BL2" s="390"/>
      <c r="BM2" s="390"/>
      <c r="BN2" s="390"/>
      <c r="BO2" s="390"/>
    </row>
    <row r="4" spans="11:14">
      <c r="K4" s="546" t="s">
        <v>2</v>
      </c>
      <c r="L4" s="546"/>
      <c r="M4" s="546"/>
      <c r="N4" s="546"/>
    </row>
    <row r="5" spans="11:14">
      <c r="K5" s="546" t="str">
        <f>вспомогательная!K5</f>
        <v>Заведующий</v>
      </c>
      <c r="L5" s="546"/>
      <c r="M5" s="546"/>
      <c r="N5" s="546"/>
    </row>
    <row r="6" spans="11:14">
      <c r="K6" s="547" t="s">
        <v>3</v>
      </c>
      <c r="L6" s="547"/>
      <c r="M6" s="547"/>
      <c r="N6" s="547"/>
    </row>
    <row r="7" ht="31.9" customHeight="1" spans="11:14">
      <c r="K7" s="548" t="str">
        <f>вспомогательная!K7</f>
        <v>МАДОУ Центр развития ребенка - детский сад № 150 города Пензы "Алый парус"</v>
      </c>
      <c r="L7" s="549"/>
      <c r="M7" s="549"/>
      <c r="N7" s="549"/>
    </row>
    <row r="8" spans="11:14">
      <c r="K8" s="547" t="s">
        <v>4</v>
      </c>
      <c r="L8" s="547"/>
      <c r="M8" s="547"/>
      <c r="N8" s="547"/>
    </row>
    <row r="9" spans="11:14">
      <c r="K9" s="550" t="str">
        <f>вспомогательная!K9</f>
        <v>Измайлова Н.В.</v>
      </c>
      <c r="L9" s="550"/>
      <c r="M9" s="550"/>
      <c r="N9" s="550"/>
    </row>
    <row r="10" ht="8.25" customHeight="1" spans="11:14">
      <c r="K10" s="547" t="s">
        <v>5</v>
      </c>
      <c r="L10" s="547"/>
      <c r="M10" s="551" t="s">
        <v>6</v>
      </c>
      <c r="N10" s="551"/>
    </row>
    <row r="11" spans="11:14">
      <c r="K11" s="397" t="str">
        <f>вспомогательная!K11</f>
        <v>"17" июня 2020</v>
      </c>
      <c r="L11" s="397"/>
      <c r="M11" s="397"/>
      <c r="N11" s="397"/>
    </row>
    <row r="12" ht="15.75"/>
    <row r="13" ht="12" customHeight="1" spans="12:14">
      <c r="L13" s="398"/>
      <c r="M13" s="398"/>
      <c r="N13" s="399" t="s">
        <v>7</v>
      </c>
    </row>
    <row r="14" ht="12" customHeight="1" spans="12:14">
      <c r="L14" s="400"/>
      <c r="M14" s="400"/>
      <c r="N14" s="401"/>
    </row>
    <row r="15" customHeight="1" spans="4:14">
      <c r="D15" s="530" t="s">
        <v>8</v>
      </c>
      <c r="E15" s="530"/>
      <c r="F15" s="530"/>
      <c r="G15" s="530"/>
      <c r="H15" s="530"/>
      <c r="I15" s="530"/>
      <c r="J15" s="530"/>
      <c r="L15" s="400"/>
      <c r="M15" s="402" t="s">
        <v>9</v>
      </c>
      <c r="N15" s="403" t="str">
        <f>вспомогательная!N15</f>
        <v>17.06.2020</v>
      </c>
    </row>
    <row r="16" customHeight="1" spans="4:14">
      <c r="D16" s="530" t="s">
        <v>10</v>
      </c>
      <c r="E16" s="530"/>
      <c r="F16" s="530"/>
      <c r="G16" s="530"/>
      <c r="H16" s="530"/>
      <c r="I16" s="530"/>
      <c r="J16" s="530"/>
      <c r="L16" s="400"/>
      <c r="M16" s="402" t="s">
        <v>11</v>
      </c>
      <c r="N16" s="552"/>
    </row>
    <row r="17" customHeight="1" spans="4:14">
      <c r="D17" s="530" t="str">
        <f>вспомогательная!D17</f>
        <v>от " 17 " июня 2020г.</v>
      </c>
      <c r="E17" s="530"/>
      <c r="F17" s="530"/>
      <c r="G17" s="530"/>
      <c r="H17" s="530"/>
      <c r="I17" s="530"/>
      <c r="J17" s="530"/>
      <c r="L17" s="400"/>
      <c r="M17" s="402" t="s">
        <v>12</v>
      </c>
      <c r="N17" s="552" t="s">
        <v>13</v>
      </c>
    </row>
    <row r="18" ht="12" customHeight="1" spans="2:14">
      <c r="B18" s="11" t="s">
        <v>14</v>
      </c>
      <c r="C18" s="11"/>
      <c r="D18" s="11"/>
      <c r="E18" s="11"/>
      <c r="F18" s="7"/>
      <c r="G18" s="7"/>
      <c r="H18" s="7"/>
      <c r="I18" s="7"/>
      <c r="L18" s="400"/>
      <c r="M18" s="402" t="s">
        <v>11</v>
      </c>
      <c r="N18" s="552"/>
    </row>
    <row r="19" ht="12" customHeight="1" spans="2:14">
      <c r="B19" s="11" t="s">
        <v>15</v>
      </c>
      <c r="C19" s="11"/>
      <c r="D19" s="11"/>
      <c r="E19" s="11"/>
      <c r="F19" s="331" t="s">
        <v>16</v>
      </c>
      <c r="G19" s="331"/>
      <c r="H19" s="331"/>
      <c r="I19" s="331"/>
      <c r="L19" s="400"/>
      <c r="M19" s="402" t="s">
        <v>17</v>
      </c>
      <c r="N19" s="553" t="str">
        <f>вспомогательная!N19</f>
        <v>5837009417</v>
      </c>
    </row>
    <row r="20" ht="28.5" customHeight="1" spans="2:14">
      <c r="B20" s="7" t="s">
        <v>18</v>
      </c>
      <c r="C20" s="7"/>
      <c r="D20" s="531" t="str">
        <f>вспомогательная!D20</f>
        <v>МАДОУ Центр развития ребенка - детский сад № 150 города Пензы "Алый парус"</v>
      </c>
      <c r="E20" s="531"/>
      <c r="F20" s="531"/>
      <c r="G20" s="531"/>
      <c r="H20" s="531"/>
      <c r="I20" s="531"/>
      <c r="J20" s="531"/>
      <c r="L20" s="400"/>
      <c r="M20" s="402" t="s">
        <v>19</v>
      </c>
      <c r="N20" s="553" t="str">
        <f>вспомогательная!N20</f>
        <v>583701001</v>
      </c>
    </row>
    <row r="21" ht="12" customHeight="1" spans="2:14">
      <c r="B21" s="7" t="s">
        <v>20</v>
      </c>
      <c r="C21" s="7"/>
      <c r="D21" s="7"/>
      <c r="E21" s="7"/>
      <c r="F21" s="7"/>
      <c r="G21" s="7"/>
      <c r="H21" s="7"/>
      <c r="I21" s="7"/>
      <c r="L21" s="400"/>
      <c r="M21" s="402" t="s">
        <v>21</v>
      </c>
      <c r="N21" s="554" t="s">
        <v>22</v>
      </c>
    </row>
    <row r="22" spans="5:8">
      <c r="E22" s="532" t="s">
        <v>23</v>
      </c>
      <c r="F22" s="532"/>
      <c r="G22" s="532"/>
      <c r="H22" s="532"/>
    </row>
    <row r="23" ht="15.75"/>
    <row r="24" spans="2:14">
      <c r="B24" s="333" t="s">
        <v>24</v>
      </c>
      <c r="C24" s="334"/>
      <c r="D24" s="334"/>
      <c r="E24" s="334"/>
      <c r="F24" s="334"/>
      <c r="G24" s="334"/>
      <c r="H24" s="335" t="s">
        <v>25</v>
      </c>
      <c r="I24" s="335" t="s">
        <v>26</v>
      </c>
      <c r="J24" s="407" t="s">
        <v>27</v>
      </c>
      <c r="K24" s="408" t="s">
        <v>28</v>
      </c>
      <c r="L24" s="408"/>
      <c r="M24" s="408"/>
      <c r="N24" s="409"/>
    </row>
    <row r="25" spans="2:14">
      <c r="B25" s="336"/>
      <c r="C25" s="337"/>
      <c r="D25" s="337"/>
      <c r="E25" s="337"/>
      <c r="F25" s="337"/>
      <c r="G25" s="337"/>
      <c r="H25" s="338"/>
      <c r="I25" s="338"/>
      <c r="J25" s="410"/>
      <c r="K25" s="411" t="s">
        <v>29</v>
      </c>
      <c r="L25" s="411" t="s">
        <v>30</v>
      </c>
      <c r="M25" s="411" t="s">
        <v>31</v>
      </c>
      <c r="N25" s="412" t="s">
        <v>32</v>
      </c>
    </row>
    <row r="26" ht="36.75" customHeight="1" spans="2:14">
      <c r="B26" s="339"/>
      <c r="C26" s="340"/>
      <c r="D26" s="340"/>
      <c r="E26" s="340"/>
      <c r="F26" s="340"/>
      <c r="G26" s="340"/>
      <c r="H26" s="341"/>
      <c r="I26" s="341"/>
      <c r="J26" s="410"/>
      <c r="K26" s="413" t="s">
        <v>33</v>
      </c>
      <c r="L26" s="413" t="s">
        <v>34</v>
      </c>
      <c r="M26" s="413" t="s">
        <v>35</v>
      </c>
      <c r="N26" s="412"/>
    </row>
    <row r="27" ht="15.75" spans="2:14">
      <c r="B27" s="533" t="s">
        <v>36</v>
      </c>
      <c r="C27" s="534"/>
      <c r="D27" s="534"/>
      <c r="E27" s="534"/>
      <c r="F27" s="534"/>
      <c r="G27" s="534"/>
      <c r="H27" s="535" t="s">
        <v>37</v>
      </c>
      <c r="I27" s="535" t="s">
        <v>38</v>
      </c>
      <c r="J27" s="535" t="s">
        <v>39</v>
      </c>
      <c r="K27" s="535" t="s">
        <v>40</v>
      </c>
      <c r="L27" s="535" t="s">
        <v>41</v>
      </c>
      <c r="M27" s="535" t="s">
        <v>42</v>
      </c>
      <c r="N27" s="555" t="s">
        <v>43</v>
      </c>
    </row>
    <row r="28" spans="2:14">
      <c r="B28" s="345" t="s">
        <v>44</v>
      </c>
      <c r="C28" s="346"/>
      <c r="D28" s="346"/>
      <c r="E28" s="346"/>
      <c r="F28" s="346"/>
      <c r="G28" s="346"/>
      <c r="H28" s="536" t="s">
        <v>45</v>
      </c>
      <c r="I28" s="556" t="s">
        <v>46</v>
      </c>
      <c r="J28" s="557" t="s">
        <v>46</v>
      </c>
      <c r="K28" s="418">
        <f>вспомогательная!K28</f>
        <v>271429.67</v>
      </c>
      <c r="L28" s="418">
        <f>вспомогательная!L28</f>
        <v>271429.669999994</v>
      </c>
      <c r="M28" s="418">
        <f>вспомогательная!M28</f>
        <v>271429.669999994</v>
      </c>
      <c r="N28" s="419"/>
    </row>
    <row r="29" spans="2:14">
      <c r="B29" s="345" t="s">
        <v>47</v>
      </c>
      <c r="C29" s="346"/>
      <c r="D29" s="346"/>
      <c r="E29" s="346"/>
      <c r="F29" s="346"/>
      <c r="G29" s="346"/>
      <c r="H29" s="498" t="s">
        <v>48</v>
      </c>
      <c r="I29" s="450" t="s">
        <v>46</v>
      </c>
      <c r="J29" s="558" t="s">
        <v>46</v>
      </c>
      <c r="K29" s="422">
        <f>K28+K30-K56</f>
        <v>271429.669999994</v>
      </c>
      <c r="L29" s="422">
        <f t="shared" ref="L29:M29" si="0">L28+L30-L56</f>
        <v>271429.669999994</v>
      </c>
      <c r="M29" s="422">
        <f t="shared" si="0"/>
        <v>271429.669999994</v>
      </c>
      <c r="N29" s="423"/>
    </row>
    <row r="30" s="523" customFormat="1" spans="1:67">
      <c r="A30" s="526"/>
      <c r="B30" s="349" t="s">
        <v>49</v>
      </c>
      <c r="C30" s="350"/>
      <c r="D30" s="350"/>
      <c r="E30" s="350"/>
      <c r="F30" s="350"/>
      <c r="G30" s="350"/>
      <c r="H30" s="537" t="s">
        <v>50</v>
      </c>
      <c r="I30" s="559"/>
      <c r="J30" s="560"/>
      <c r="K30" s="426">
        <f>K31+K34+K37+K40+K43+K47+K53</f>
        <v>52270812.41</v>
      </c>
      <c r="L30" s="426">
        <f t="shared" ref="L30:M30" si="1">L31+L34+L37+L40+L43+L47+L53</f>
        <v>53449108.41</v>
      </c>
      <c r="M30" s="426">
        <f t="shared" si="1"/>
        <v>55183708.41</v>
      </c>
      <c r="N30" s="427"/>
      <c r="O30" s="526"/>
      <c r="P30" s="526"/>
      <c r="Q30" s="526"/>
      <c r="R30" s="526"/>
      <c r="S30" s="526"/>
      <c r="T30" s="526"/>
      <c r="U30" s="526"/>
      <c r="V30" s="526"/>
      <c r="W30" s="526"/>
      <c r="X30" s="526"/>
      <c r="Y30" s="526"/>
      <c r="Z30" s="526"/>
      <c r="AA30" s="526"/>
      <c r="AB30" s="526"/>
      <c r="AC30" s="526"/>
      <c r="AD30" s="526"/>
      <c r="AE30" s="526"/>
      <c r="AF30" s="526"/>
      <c r="AG30" s="526"/>
      <c r="AH30" s="526"/>
      <c r="AI30" s="526"/>
      <c r="AJ30" s="526"/>
      <c r="AK30" s="526"/>
      <c r="AL30" s="526"/>
      <c r="AM30" s="526"/>
      <c r="AN30" s="526"/>
      <c r="AO30" s="526"/>
      <c r="AP30" s="526"/>
      <c r="AQ30" s="526"/>
      <c r="AR30" s="526"/>
      <c r="AS30" s="526"/>
      <c r="AT30" s="526"/>
      <c r="AU30" s="526"/>
      <c r="AV30" s="526"/>
      <c r="AW30" s="526"/>
      <c r="AX30" s="526"/>
      <c r="AY30" s="526"/>
      <c r="AZ30" s="526"/>
      <c r="BA30" s="526"/>
      <c r="BB30" s="526"/>
      <c r="BC30" s="526"/>
      <c r="BD30" s="526"/>
      <c r="BE30" s="526"/>
      <c r="BF30" s="526"/>
      <c r="BG30" s="526"/>
      <c r="BH30" s="526"/>
      <c r="BI30" s="526"/>
      <c r="BJ30" s="526"/>
      <c r="BK30" s="526"/>
      <c r="BL30" s="526"/>
      <c r="BM30" s="526"/>
      <c r="BN30" s="526"/>
      <c r="BO30" s="526"/>
    </row>
    <row r="31" spans="2:14">
      <c r="B31" s="352" t="s">
        <v>51</v>
      </c>
      <c r="C31" s="353"/>
      <c r="D31" s="353"/>
      <c r="E31" s="353"/>
      <c r="F31" s="353"/>
      <c r="G31" s="353"/>
      <c r="H31" s="498" t="s">
        <v>52</v>
      </c>
      <c r="I31" s="450" t="s">
        <v>53</v>
      </c>
      <c r="J31" s="558"/>
      <c r="K31" s="422">
        <f t="shared" ref="K31:M31" si="2">K32</f>
        <v>0</v>
      </c>
      <c r="L31" s="422">
        <f t="shared" si="2"/>
        <v>0</v>
      </c>
      <c r="M31" s="422">
        <f t="shared" si="2"/>
        <v>0</v>
      </c>
      <c r="N31" s="423"/>
    </row>
    <row r="32" spans="2:14">
      <c r="B32" s="354" t="s">
        <v>54</v>
      </c>
      <c r="C32" s="355"/>
      <c r="D32" s="355"/>
      <c r="E32" s="355"/>
      <c r="F32" s="355"/>
      <c r="G32" s="355"/>
      <c r="H32" s="538" t="s">
        <v>55</v>
      </c>
      <c r="I32" s="561"/>
      <c r="J32" s="558"/>
      <c r="K32" s="422"/>
      <c r="L32" s="422"/>
      <c r="M32" s="422"/>
      <c r="N32" s="423"/>
    </row>
    <row r="33" ht="11.25" customHeight="1" spans="2:14">
      <c r="B33" s="357"/>
      <c r="C33" s="358"/>
      <c r="D33" s="358"/>
      <c r="E33" s="358"/>
      <c r="F33" s="358"/>
      <c r="G33" s="358"/>
      <c r="H33" s="539"/>
      <c r="I33" s="562"/>
      <c r="J33" s="558"/>
      <c r="K33" s="422"/>
      <c r="L33" s="422"/>
      <c r="M33" s="422"/>
      <c r="N33" s="423"/>
    </row>
    <row r="34" spans="2:14">
      <c r="B34" s="360" t="s">
        <v>56</v>
      </c>
      <c r="C34" s="361"/>
      <c r="D34" s="361"/>
      <c r="E34" s="361"/>
      <c r="F34" s="361"/>
      <c r="G34" s="361"/>
      <c r="H34" s="539" t="s">
        <v>57</v>
      </c>
      <c r="I34" s="563" t="s">
        <v>58</v>
      </c>
      <c r="J34" s="558"/>
      <c r="K34" s="422">
        <f t="shared" ref="K34:M34" si="3">K35</f>
        <v>45744904</v>
      </c>
      <c r="L34" s="422">
        <f t="shared" si="3"/>
        <v>47276200</v>
      </c>
      <c r="M34" s="422">
        <f t="shared" si="3"/>
        <v>49010800</v>
      </c>
      <c r="N34" s="423"/>
    </row>
    <row r="35" spans="2:14">
      <c r="B35" s="362" t="s">
        <v>59</v>
      </c>
      <c r="C35" s="363"/>
      <c r="D35" s="363"/>
      <c r="E35" s="363"/>
      <c r="F35" s="363"/>
      <c r="G35" s="363"/>
      <c r="H35" s="498" t="s">
        <v>60</v>
      </c>
      <c r="I35" s="450" t="s">
        <v>58</v>
      </c>
      <c r="J35" s="558"/>
      <c r="K35" s="432">
        <f>вспомогательная!K35</f>
        <v>45744904</v>
      </c>
      <c r="L35" s="432">
        <f>вспомогательная!L35</f>
        <v>47276200</v>
      </c>
      <c r="M35" s="432">
        <f>вспомогательная!M35</f>
        <v>49010800</v>
      </c>
      <c r="N35" s="423"/>
    </row>
    <row r="36" spans="2:14">
      <c r="B36" s="364"/>
      <c r="C36" s="365"/>
      <c r="D36" s="365"/>
      <c r="E36" s="365"/>
      <c r="F36" s="365"/>
      <c r="G36" s="366"/>
      <c r="H36" s="498"/>
      <c r="I36" s="450"/>
      <c r="J36" s="558"/>
      <c r="K36" s="422"/>
      <c r="L36" s="422"/>
      <c r="M36" s="422"/>
      <c r="N36" s="423"/>
    </row>
    <row r="37" spans="2:14">
      <c r="B37" s="360" t="s">
        <v>61</v>
      </c>
      <c r="C37" s="361"/>
      <c r="D37" s="361"/>
      <c r="E37" s="361"/>
      <c r="F37" s="361"/>
      <c r="G37" s="361"/>
      <c r="H37" s="498" t="s">
        <v>62</v>
      </c>
      <c r="I37" s="450" t="s">
        <v>63</v>
      </c>
      <c r="J37" s="558"/>
      <c r="K37" s="422">
        <f t="shared" ref="K37:M37" si="4">K38</f>
        <v>0</v>
      </c>
      <c r="L37" s="422">
        <f t="shared" si="4"/>
        <v>0</v>
      </c>
      <c r="M37" s="422">
        <f t="shared" si="4"/>
        <v>0</v>
      </c>
      <c r="N37" s="423"/>
    </row>
    <row r="38" spans="2:14">
      <c r="B38" s="354" t="s">
        <v>54</v>
      </c>
      <c r="C38" s="355"/>
      <c r="D38" s="355"/>
      <c r="E38" s="355"/>
      <c r="F38" s="355"/>
      <c r="G38" s="355"/>
      <c r="H38" s="538" t="s">
        <v>64</v>
      </c>
      <c r="I38" s="564" t="s">
        <v>63</v>
      </c>
      <c r="J38" s="558"/>
      <c r="K38" s="432">
        <f>вспомогательная!K38</f>
        <v>0</v>
      </c>
      <c r="L38" s="432">
        <f>вспомогательная!L38</f>
        <v>0</v>
      </c>
      <c r="M38" s="432">
        <f>вспомогательная!M38</f>
        <v>0</v>
      </c>
      <c r="N38" s="423"/>
    </row>
    <row r="39" spans="2:14">
      <c r="B39" s="357"/>
      <c r="C39" s="358"/>
      <c r="D39" s="358"/>
      <c r="E39" s="358"/>
      <c r="F39" s="358"/>
      <c r="G39" s="358"/>
      <c r="H39" s="539"/>
      <c r="I39" s="563"/>
      <c r="J39" s="558"/>
      <c r="K39" s="432"/>
      <c r="L39" s="432"/>
      <c r="M39" s="432"/>
      <c r="N39" s="423"/>
    </row>
    <row r="40" spans="2:14">
      <c r="B40" s="360" t="s">
        <v>65</v>
      </c>
      <c r="C40" s="361"/>
      <c r="D40" s="361"/>
      <c r="E40" s="361"/>
      <c r="F40" s="361"/>
      <c r="G40" s="361"/>
      <c r="H40" s="498" t="s">
        <v>66</v>
      </c>
      <c r="I40" s="450" t="s">
        <v>67</v>
      </c>
      <c r="J40" s="558"/>
      <c r="K40" s="422">
        <f t="shared" ref="K40:M40" si="5">K41</f>
        <v>0</v>
      </c>
      <c r="L40" s="422">
        <f t="shared" si="5"/>
        <v>0</v>
      </c>
      <c r="M40" s="422">
        <f t="shared" si="5"/>
        <v>0</v>
      </c>
      <c r="N40" s="423"/>
    </row>
    <row r="41" spans="2:14">
      <c r="B41" s="368" t="s">
        <v>54</v>
      </c>
      <c r="C41" s="369"/>
      <c r="D41" s="369"/>
      <c r="E41" s="369"/>
      <c r="F41" s="369"/>
      <c r="G41" s="369"/>
      <c r="H41" s="538"/>
      <c r="I41" s="564"/>
      <c r="J41" s="558"/>
      <c r="K41" s="432">
        <f>вспомогательная!K41</f>
        <v>0</v>
      </c>
      <c r="L41" s="432">
        <f>вспомогательная!L41</f>
        <v>0</v>
      </c>
      <c r="M41" s="432">
        <f>вспомогательная!M41</f>
        <v>0</v>
      </c>
      <c r="N41" s="423"/>
    </row>
    <row r="42" spans="2:14">
      <c r="B42" s="370"/>
      <c r="C42" s="371"/>
      <c r="D42" s="371"/>
      <c r="E42" s="371"/>
      <c r="F42" s="371"/>
      <c r="G42" s="371"/>
      <c r="H42" s="539"/>
      <c r="I42" s="563"/>
      <c r="J42" s="558"/>
      <c r="K42" s="432"/>
      <c r="L42" s="432"/>
      <c r="M42" s="432"/>
      <c r="N42" s="423"/>
    </row>
    <row r="43" spans="2:14">
      <c r="B43" s="360" t="s">
        <v>68</v>
      </c>
      <c r="C43" s="361"/>
      <c r="D43" s="361"/>
      <c r="E43" s="361"/>
      <c r="F43" s="361"/>
      <c r="G43" s="361"/>
      <c r="H43" s="498" t="s">
        <v>69</v>
      </c>
      <c r="I43" s="450" t="s">
        <v>70</v>
      </c>
      <c r="J43" s="558"/>
      <c r="K43" s="422">
        <f t="shared" ref="K43:M43" si="6">K44</f>
        <v>2271000</v>
      </c>
      <c r="L43" s="422">
        <f t="shared" si="6"/>
        <v>1918000</v>
      </c>
      <c r="M43" s="422">
        <f t="shared" si="6"/>
        <v>1918000</v>
      </c>
      <c r="N43" s="423"/>
    </row>
    <row r="44" spans="2:14">
      <c r="B44" s="368" t="s">
        <v>54</v>
      </c>
      <c r="C44" s="369"/>
      <c r="D44" s="369"/>
      <c r="E44" s="369"/>
      <c r="F44" s="369"/>
      <c r="G44" s="369"/>
      <c r="H44" s="538" t="s">
        <v>71</v>
      </c>
      <c r="I44" s="564" t="s">
        <v>70</v>
      </c>
      <c r="J44" s="558"/>
      <c r="K44" s="434">
        <f>вспомогательная!K44</f>
        <v>2271000</v>
      </c>
      <c r="L44" s="434">
        <f>вспомогательная!L44</f>
        <v>1918000</v>
      </c>
      <c r="M44" s="434">
        <f>вспомогательная!M44</f>
        <v>1918000</v>
      </c>
      <c r="N44" s="423"/>
    </row>
    <row r="45" spans="2:14">
      <c r="B45" s="370" t="s">
        <v>72</v>
      </c>
      <c r="C45" s="371"/>
      <c r="D45" s="371"/>
      <c r="E45" s="371"/>
      <c r="F45" s="371"/>
      <c r="G45" s="371"/>
      <c r="H45" s="539"/>
      <c r="I45" s="563"/>
      <c r="J45" s="558"/>
      <c r="K45" s="434"/>
      <c r="L45" s="434"/>
      <c r="M45" s="434"/>
      <c r="N45" s="423"/>
    </row>
    <row r="46" spans="2:14">
      <c r="B46" s="372"/>
      <c r="C46" s="371"/>
      <c r="D46" s="371"/>
      <c r="E46" s="371"/>
      <c r="F46" s="371"/>
      <c r="G46" s="371"/>
      <c r="H46" s="498"/>
      <c r="I46" s="450"/>
      <c r="J46" s="558"/>
      <c r="K46" s="422"/>
      <c r="L46" s="422"/>
      <c r="M46" s="422"/>
      <c r="N46" s="423"/>
    </row>
    <row r="47" spans="2:14">
      <c r="B47" s="360" t="s">
        <v>73</v>
      </c>
      <c r="C47" s="361"/>
      <c r="D47" s="361"/>
      <c r="E47" s="361"/>
      <c r="F47" s="361"/>
      <c r="G47" s="361"/>
      <c r="H47" s="498" t="s">
        <v>74</v>
      </c>
      <c r="I47" s="450"/>
      <c r="J47" s="558"/>
      <c r="K47" s="422">
        <f t="shared" ref="K47:M47" si="7">K48+K50+K51+K52</f>
        <v>4254908.41</v>
      </c>
      <c r="L47" s="422">
        <f t="shared" si="7"/>
        <v>4254908.41</v>
      </c>
      <c r="M47" s="422">
        <f t="shared" si="7"/>
        <v>4254908.41</v>
      </c>
      <c r="N47" s="423"/>
    </row>
    <row r="48" spans="2:14">
      <c r="B48" s="368" t="s">
        <v>54</v>
      </c>
      <c r="C48" s="369"/>
      <c r="D48" s="369"/>
      <c r="E48" s="369"/>
      <c r="F48" s="369"/>
      <c r="G48" s="369"/>
      <c r="H48" s="538"/>
      <c r="I48" s="564"/>
      <c r="J48" s="558"/>
      <c r="K48" s="432">
        <f>вспомогательная!K48</f>
        <v>0</v>
      </c>
      <c r="L48" s="432">
        <f>вспомогательная!L48</f>
        <v>0</v>
      </c>
      <c r="M48" s="432">
        <f>вспомогательная!M48</f>
        <v>0</v>
      </c>
      <c r="N48" s="423"/>
    </row>
    <row r="49" spans="2:14">
      <c r="B49" s="540" t="s">
        <v>75</v>
      </c>
      <c r="C49" s="70"/>
      <c r="D49" s="70"/>
      <c r="E49" s="70"/>
      <c r="F49" s="70"/>
      <c r="G49" s="70"/>
      <c r="H49" s="539"/>
      <c r="I49" s="563"/>
      <c r="J49" s="558"/>
      <c r="K49" s="432"/>
      <c r="L49" s="432"/>
      <c r="M49" s="432"/>
      <c r="N49" s="423"/>
    </row>
    <row r="50" spans="2:14">
      <c r="B50" s="377" t="s">
        <v>76</v>
      </c>
      <c r="C50" s="378"/>
      <c r="D50" s="378"/>
      <c r="E50" s="378"/>
      <c r="F50" s="378"/>
      <c r="G50" s="378"/>
      <c r="H50" s="498"/>
      <c r="I50" s="450"/>
      <c r="J50" s="558"/>
      <c r="K50" s="432">
        <f>вспомогательная!K50</f>
        <v>590400</v>
      </c>
      <c r="L50" s="432">
        <f>вспомогательная!L50</f>
        <v>590400</v>
      </c>
      <c r="M50" s="432">
        <f>вспомогательная!M50</f>
        <v>590400</v>
      </c>
      <c r="N50" s="423"/>
    </row>
    <row r="51" spans="2:14">
      <c r="B51" s="377" t="s">
        <v>77</v>
      </c>
      <c r="C51" s="378"/>
      <c r="D51" s="378"/>
      <c r="E51" s="378"/>
      <c r="F51" s="378"/>
      <c r="G51" s="378"/>
      <c r="H51" s="498"/>
      <c r="I51" s="450"/>
      <c r="J51" s="558"/>
      <c r="K51" s="432">
        <f>вспомогательная!K51</f>
        <v>749228.41</v>
      </c>
      <c r="L51" s="432">
        <f>вспомогательная!L51</f>
        <v>749228.41</v>
      </c>
      <c r="M51" s="432">
        <f>вспомогательная!M51</f>
        <v>749228.41</v>
      </c>
      <c r="N51" s="423"/>
    </row>
    <row r="52" spans="2:14">
      <c r="B52" s="379" t="s">
        <v>78</v>
      </c>
      <c r="C52" s="70"/>
      <c r="D52" s="70"/>
      <c r="E52" s="70"/>
      <c r="F52" s="70"/>
      <c r="G52" s="70"/>
      <c r="H52" s="498"/>
      <c r="I52" s="450"/>
      <c r="J52" s="558"/>
      <c r="K52" s="432">
        <f>вспомогательная!K52</f>
        <v>2915280</v>
      </c>
      <c r="L52" s="432">
        <f>вспомогательная!L52</f>
        <v>2915280</v>
      </c>
      <c r="M52" s="432">
        <f>вспомогательная!M52</f>
        <v>2915280</v>
      </c>
      <c r="N52" s="423"/>
    </row>
    <row r="53" spans="2:14">
      <c r="B53" s="360" t="s">
        <v>79</v>
      </c>
      <c r="C53" s="361"/>
      <c r="D53" s="361"/>
      <c r="E53" s="361"/>
      <c r="F53" s="361"/>
      <c r="G53" s="361"/>
      <c r="H53" s="498" t="s">
        <v>80</v>
      </c>
      <c r="I53" s="450" t="s">
        <v>46</v>
      </c>
      <c r="J53" s="558"/>
      <c r="K53" s="422">
        <f t="shared" ref="K53:M53" si="8">K54</f>
        <v>0</v>
      </c>
      <c r="L53" s="422">
        <f t="shared" si="8"/>
        <v>0</v>
      </c>
      <c r="M53" s="422">
        <f t="shared" si="8"/>
        <v>0</v>
      </c>
      <c r="N53" s="423"/>
    </row>
    <row r="54" spans="2:14">
      <c r="B54" s="362" t="s">
        <v>81</v>
      </c>
      <c r="C54" s="363"/>
      <c r="D54" s="363"/>
      <c r="E54" s="363"/>
      <c r="F54" s="363"/>
      <c r="G54" s="363"/>
      <c r="H54" s="498" t="s">
        <v>82</v>
      </c>
      <c r="I54" s="450" t="s">
        <v>83</v>
      </c>
      <c r="J54" s="558"/>
      <c r="K54" s="422"/>
      <c r="L54" s="422"/>
      <c r="M54" s="422"/>
      <c r="N54" s="423" t="s">
        <v>46</v>
      </c>
    </row>
    <row r="55" spans="2:14">
      <c r="B55" s="372"/>
      <c r="C55" s="371"/>
      <c r="D55" s="371"/>
      <c r="E55" s="371"/>
      <c r="F55" s="371"/>
      <c r="G55" s="371"/>
      <c r="H55" s="498"/>
      <c r="I55" s="450"/>
      <c r="J55" s="558"/>
      <c r="K55" s="422"/>
      <c r="L55" s="422"/>
      <c r="M55" s="422"/>
      <c r="N55" s="423"/>
    </row>
    <row r="56" s="524" customFormat="1" spans="1:67">
      <c r="A56" s="526"/>
      <c r="B56" s="380" t="s">
        <v>84</v>
      </c>
      <c r="C56" s="381"/>
      <c r="D56" s="381"/>
      <c r="E56" s="381"/>
      <c r="F56" s="381"/>
      <c r="G56" s="381"/>
      <c r="H56" s="541" t="s">
        <v>85</v>
      </c>
      <c r="I56" s="565" t="s">
        <v>46</v>
      </c>
      <c r="J56" s="566"/>
      <c r="K56" s="438">
        <f>K57+K62+K65+K80+K87+K89+K109</f>
        <v>52270812.41</v>
      </c>
      <c r="L56" s="438">
        <f>L57+L62+L65+L80+L87+L89+L109</f>
        <v>53449108.41</v>
      </c>
      <c r="M56" s="438">
        <f>M57+M62+M65+M80+M87+M89+M109</f>
        <v>55183708.41</v>
      </c>
      <c r="N56" s="567"/>
      <c r="O56" s="526"/>
      <c r="P56" s="526"/>
      <c r="Q56" s="526"/>
      <c r="R56" s="526"/>
      <c r="S56" s="526"/>
      <c r="T56" s="526"/>
      <c r="U56" s="526"/>
      <c r="V56" s="526"/>
      <c r="W56" s="526"/>
      <c r="X56" s="526"/>
      <c r="Y56" s="526"/>
      <c r="Z56" s="526"/>
      <c r="AA56" s="526"/>
      <c r="AB56" s="526"/>
      <c r="AC56" s="526"/>
      <c r="AD56" s="526"/>
      <c r="AE56" s="526"/>
      <c r="AF56" s="526"/>
      <c r="AG56" s="526"/>
      <c r="AH56" s="526"/>
      <c r="AI56" s="526"/>
      <c r="AJ56" s="526"/>
      <c r="AK56" s="526"/>
      <c r="AL56" s="526"/>
      <c r="AM56" s="526"/>
      <c r="AN56" s="526"/>
      <c r="AO56" s="526"/>
      <c r="AP56" s="526"/>
      <c r="AQ56" s="526"/>
      <c r="AR56" s="526"/>
      <c r="AS56" s="526"/>
      <c r="AT56" s="526"/>
      <c r="AU56" s="526"/>
      <c r="AV56" s="526"/>
      <c r="AW56" s="526"/>
      <c r="AX56" s="526"/>
      <c r="AY56" s="526"/>
      <c r="AZ56" s="526"/>
      <c r="BA56" s="526"/>
      <c r="BB56" s="526"/>
      <c r="BC56" s="526"/>
      <c r="BD56" s="526"/>
      <c r="BE56" s="526"/>
      <c r="BF56" s="526"/>
      <c r="BG56" s="526"/>
      <c r="BH56" s="526"/>
      <c r="BI56" s="526"/>
      <c r="BJ56" s="526"/>
      <c r="BK56" s="526"/>
      <c r="BL56" s="526"/>
      <c r="BM56" s="526"/>
      <c r="BN56" s="526"/>
      <c r="BO56" s="526"/>
    </row>
    <row r="57" s="525" customFormat="1" spans="1:67">
      <c r="A57" s="526"/>
      <c r="B57" s="383" t="s">
        <v>86</v>
      </c>
      <c r="C57" s="384"/>
      <c r="D57" s="384"/>
      <c r="E57" s="384"/>
      <c r="F57" s="384"/>
      <c r="G57" s="384"/>
      <c r="H57" s="542" t="s">
        <v>87</v>
      </c>
      <c r="I57" s="445" t="s">
        <v>46</v>
      </c>
      <c r="J57" s="568"/>
      <c r="K57" s="444">
        <f>K58+K59</f>
        <v>31167273.6</v>
      </c>
      <c r="L57" s="444">
        <f>L58+L59</f>
        <v>32312945.6</v>
      </c>
      <c r="M57" s="444">
        <f>M58+M59</f>
        <v>33569935.6</v>
      </c>
      <c r="N57" s="480" t="s">
        <v>46</v>
      </c>
      <c r="O57" s="526"/>
      <c r="P57" s="526"/>
      <c r="Q57" s="526"/>
      <c r="R57" s="526"/>
      <c r="S57" s="526"/>
      <c r="T57" s="526"/>
      <c r="U57" s="526"/>
      <c r="V57" s="526"/>
      <c r="W57" s="526"/>
      <c r="X57" s="526"/>
      <c r="Y57" s="526"/>
      <c r="Z57" s="526"/>
      <c r="AA57" s="526"/>
      <c r="AB57" s="526"/>
      <c r="AC57" s="526"/>
      <c r="AD57" s="526"/>
      <c r="AE57" s="526"/>
      <c r="AF57" s="526"/>
      <c r="AG57" s="526"/>
      <c r="AH57" s="526"/>
      <c r="AI57" s="526"/>
      <c r="AJ57" s="526"/>
      <c r="AK57" s="526"/>
      <c r="AL57" s="526"/>
      <c r="AM57" s="526"/>
      <c r="AN57" s="526"/>
      <c r="AO57" s="526"/>
      <c r="AP57" s="526"/>
      <c r="AQ57" s="526"/>
      <c r="AR57" s="526"/>
      <c r="AS57" s="526"/>
      <c r="AT57" s="526"/>
      <c r="AU57" s="526"/>
      <c r="AV57" s="526"/>
      <c r="AW57" s="526"/>
      <c r="AX57" s="526"/>
      <c r="AY57" s="526"/>
      <c r="AZ57" s="526"/>
      <c r="BA57" s="526"/>
      <c r="BB57" s="526"/>
      <c r="BC57" s="526"/>
      <c r="BD57" s="526"/>
      <c r="BE57" s="526"/>
      <c r="BF57" s="526"/>
      <c r="BG57" s="526"/>
      <c r="BH57" s="526"/>
      <c r="BI57" s="526"/>
      <c r="BJ57" s="526"/>
      <c r="BK57" s="526"/>
      <c r="BL57" s="526"/>
      <c r="BM57" s="526"/>
      <c r="BN57" s="526"/>
      <c r="BO57" s="526"/>
    </row>
    <row r="58" spans="2:14">
      <c r="B58" s="362" t="s">
        <v>88</v>
      </c>
      <c r="C58" s="363"/>
      <c r="D58" s="363"/>
      <c r="E58" s="363"/>
      <c r="F58" s="363"/>
      <c r="G58" s="363"/>
      <c r="H58" s="498" t="s">
        <v>89</v>
      </c>
      <c r="I58" s="450" t="s">
        <v>90</v>
      </c>
      <c r="J58" s="569" t="s">
        <v>91</v>
      </c>
      <c r="K58" s="449">
        <f>вспомогательная!K58</f>
        <v>31039086.53</v>
      </c>
      <c r="L58" s="449">
        <f>вспомогательная!L58</f>
        <v>32312945.6</v>
      </c>
      <c r="M58" s="449">
        <f>вспомогательная!M58</f>
        <v>33569935.6</v>
      </c>
      <c r="N58" s="423" t="s">
        <v>46</v>
      </c>
    </row>
    <row r="59" s="526" customFormat="1" spans="2:71">
      <c r="B59" s="364"/>
      <c r="C59" s="365"/>
      <c r="D59" s="365"/>
      <c r="E59" s="365"/>
      <c r="F59" s="365"/>
      <c r="G59" s="366"/>
      <c r="H59" s="498"/>
      <c r="I59" s="450"/>
      <c r="J59" s="569" t="s">
        <v>92</v>
      </c>
      <c r="K59" s="449">
        <f>вспомогательная!K75</f>
        <v>128187.07</v>
      </c>
      <c r="L59" s="449">
        <f>вспомогательная!L75</f>
        <v>0</v>
      </c>
      <c r="M59" s="449">
        <f>вспомогательная!M75</f>
        <v>0</v>
      </c>
      <c r="N59" s="423"/>
      <c r="BP59" s="529"/>
      <c r="BQ59" s="529"/>
      <c r="BR59" s="529"/>
      <c r="BS59" s="529"/>
    </row>
    <row r="60" s="526" customFormat="1" hidden="1" spans="2:71">
      <c r="B60" s="459"/>
      <c r="C60" s="460"/>
      <c r="D60" s="460"/>
      <c r="E60" s="460"/>
      <c r="F60" s="460"/>
      <c r="G60" s="460"/>
      <c r="H60" s="498"/>
      <c r="I60" s="450"/>
      <c r="J60" s="558"/>
      <c r="K60" s="422"/>
      <c r="L60" s="422"/>
      <c r="M60" s="422"/>
      <c r="N60" s="423"/>
      <c r="BP60" s="529"/>
      <c r="BQ60" s="529"/>
      <c r="BR60" s="529"/>
      <c r="BS60" s="529"/>
    </row>
    <row r="61" s="526" customFormat="1" hidden="1" spans="2:71">
      <c r="B61" s="459"/>
      <c r="C61" s="460"/>
      <c r="D61" s="460"/>
      <c r="E61" s="460"/>
      <c r="F61" s="460"/>
      <c r="G61" s="460"/>
      <c r="H61" s="498"/>
      <c r="I61" s="450"/>
      <c r="J61" s="558"/>
      <c r="K61" s="422"/>
      <c r="L61" s="422"/>
      <c r="M61" s="422"/>
      <c r="N61" s="423"/>
      <c r="BP61" s="529"/>
      <c r="BQ61" s="529"/>
      <c r="BR61" s="529"/>
      <c r="BS61" s="529"/>
    </row>
    <row r="62" s="525" customFormat="1" spans="1:67">
      <c r="A62" s="526"/>
      <c r="B62" s="461" t="s">
        <v>93</v>
      </c>
      <c r="C62" s="462"/>
      <c r="D62" s="462"/>
      <c r="E62" s="462"/>
      <c r="F62" s="462"/>
      <c r="G62" s="462"/>
      <c r="H62" s="542" t="s">
        <v>94</v>
      </c>
      <c r="I62" s="445" t="s">
        <v>95</v>
      </c>
      <c r="J62" s="568"/>
      <c r="K62" s="444">
        <f>K63</f>
        <v>6000</v>
      </c>
      <c r="L62" s="444">
        <f t="shared" ref="L62:M62" si="9">L63</f>
        <v>6000</v>
      </c>
      <c r="M62" s="444">
        <f t="shared" si="9"/>
        <v>6000</v>
      </c>
      <c r="N62" s="480" t="s">
        <v>46</v>
      </c>
      <c r="O62" s="526"/>
      <c r="P62" s="526"/>
      <c r="Q62" s="526"/>
      <c r="R62" s="526"/>
      <c r="S62" s="526"/>
      <c r="T62" s="526"/>
      <c r="U62" s="526"/>
      <c r="V62" s="526"/>
      <c r="W62" s="526"/>
      <c r="X62" s="526"/>
      <c r="Y62" s="526"/>
      <c r="Z62" s="526"/>
      <c r="AA62" s="526"/>
      <c r="AB62" s="526"/>
      <c r="AC62" s="526"/>
      <c r="AD62" s="526"/>
      <c r="AE62" s="526"/>
      <c r="AF62" s="526"/>
      <c r="AG62" s="526"/>
      <c r="AH62" s="526"/>
      <c r="AI62" s="526"/>
      <c r="AJ62" s="526"/>
      <c r="AK62" s="526"/>
      <c r="AL62" s="526"/>
      <c r="AM62" s="526"/>
      <c r="AN62" s="526"/>
      <c r="AO62" s="526"/>
      <c r="AP62" s="526"/>
      <c r="AQ62" s="526"/>
      <c r="AR62" s="526"/>
      <c r="AS62" s="526"/>
      <c r="AT62" s="526"/>
      <c r="AU62" s="526"/>
      <c r="AV62" s="526"/>
      <c r="AW62" s="526"/>
      <c r="AX62" s="526"/>
      <c r="AY62" s="526"/>
      <c r="AZ62" s="526"/>
      <c r="BA62" s="526"/>
      <c r="BB62" s="526"/>
      <c r="BC62" s="526"/>
      <c r="BD62" s="526"/>
      <c r="BE62" s="526"/>
      <c r="BF62" s="526"/>
      <c r="BG62" s="526"/>
      <c r="BH62" s="526"/>
      <c r="BI62" s="526"/>
      <c r="BJ62" s="526"/>
      <c r="BK62" s="526"/>
      <c r="BL62" s="526"/>
      <c r="BM62" s="526"/>
      <c r="BN62" s="526"/>
      <c r="BO62" s="526"/>
    </row>
    <row r="63" s="526" customFormat="1" spans="2:14">
      <c r="B63" s="463"/>
      <c r="C63" s="464"/>
      <c r="D63" s="464"/>
      <c r="E63" s="464"/>
      <c r="F63" s="464"/>
      <c r="G63" s="464"/>
      <c r="H63" s="543"/>
      <c r="I63" s="570"/>
      <c r="J63" s="569">
        <v>266</v>
      </c>
      <c r="K63" s="482">
        <f>вспомогательная!K92</f>
        <v>6000</v>
      </c>
      <c r="L63" s="482">
        <f>вспомогательная!L92</f>
        <v>6000</v>
      </c>
      <c r="M63" s="482">
        <f>вспомогательная!M92</f>
        <v>6000</v>
      </c>
      <c r="N63" s="483"/>
    </row>
    <row r="64" s="526" customFormat="1" hidden="1" spans="2:14">
      <c r="B64" s="463"/>
      <c r="C64" s="464"/>
      <c r="D64" s="464"/>
      <c r="E64" s="464"/>
      <c r="F64" s="464"/>
      <c r="G64" s="464"/>
      <c r="H64" s="543"/>
      <c r="I64" s="570"/>
      <c r="J64" s="558"/>
      <c r="K64" s="485"/>
      <c r="L64" s="485"/>
      <c r="M64" s="485"/>
      <c r="N64" s="483"/>
    </row>
    <row r="65" s="525" customFormat="1" ht="24" customHeight="1" spans="1:67">
      <c r="A65" s="526"/>
      <c r="B65" s="466" t="s">
        <v>96</v>
      </c>
      <c r="C65" s="467"/>
      <c r="D65" s="467"/>
      <c r="E65" s="467"/>
      <c r="F65" s="467"/>
      <c r="G65" s="467"/>
      <c r="H65" s="542" t="s">
        <v>97</v>
      </c>
      <c r="I65" s="445" t="s">
        <v>98</v>
      </c>
      <c r="J65" s="568"/>
      <c r="K65" s="444">
        <f>K66+K76</f>
        <v>9402371.93</v>
      </c>
      <c r="L65" s="444">
        <f>L66+L76</f>
        <v>9758507.93</v>
      </c>
      <c r="M65" s="444">
        <f>M66+M76</f>
        <v>10138117.93</v>
      </c>
      <c r="N65" s="480" t="s">
        <v>46</v>
      </c>
      <c r="O65" s="526"/>
      <c r="P65" s="526"/>
      <c r="Q65" s="526"/>
      <c r="R65" s="526"/>
      <c r="S65" s="526"/>
      <c r="T65" s="526"/>
      <c r="U65" s="526"/>
      <c r="V65" s="526"/>
      <c r="W65" s="526"/>
      <c r="X65" s="526"/>
      <c r="Y65" s="526"/>
      <c r="Z65" s="526"/>
      <c r="AA65" s="526"/>
      <c r="AB65" s="526"/>
      <c r="AC65" s="526"/>
      <c r="AD65" s="526"/>
      <c r="AE65" s="526"/>
      <c r="AF65" s="526"/>
      <c r="AG65" s="526"/>
      <c r="AH65" s="526"/>
      <c r="AI65" s="526"/>
      <c r="AJ65" s="526"/>
      <c r="AK65" s="526"/>
      <c r="AL65" s="526"/>
      <c r="AM65" s="526"/>
      <c r="AN65" s="526"/>
      <c r="AO65" s="526"/>
      <c r="AP65" s="526"/>
      <c r="AQ65" s="526"/>
      <c r="AR65" s="526"/>
      <c r="AS65" s="526"/>
      <c r="AT65" s="526"/>
      <c r="AU65" s="526"/>
      <c r="AV65" s="526"/>
      <c r="AW65" s="526"/>
      <c r="AX65" s="526"/>
      <c r="AY65" s="526"/>
      <c r="AZ65" s="526"/>
      <c r="BA65" s="526"/>
      <c r="BB65" s="526"/>
      <c r="BC65" s="526"/>
      <c r="BD65" s="526"/>
      <c r="BE65" s="526"/>
      <c r="BF65" s="526"/>
      <c r="BG65" s="526"/>
      <c r="BH65" s="526"/>
      <c r="BI65" s="526"/>
      <c r="BJ65" s="526"/>
      <c r="BK65" s="526"/>
      <c r="BL65" s="526"/>
      <c r="BM65" s="526"/>
      <c r="BN65" s="526"/>
      <c r="BO65" s="526"/>
    </row>
    <row r="66" s="527" customFormat="1" spans="2:47">
      <c r="B66" s="468" t="s">
        <v>99</v>
      </c>
      <c r="C66" s="469"/>
      <c r="D66" s="469"/>
      <c r="E66" s="469"/>
      <c r="F66" s="469"/>
      <c r="G66" s="469"/>
      <c r="H66" s="571" t="s">
        <v>100</v>
      </c>
      <c r="I66" s="580" t="s">
        <v>98</v>
      </c>
      <c r="J66" s="572"/>
      <c r="K66" s="488">
        <f>K67</f>
        <v>9402371.93</v>
      </c>
      <c r="L66" s="488">
        <f t="shared" ref="L66:M66" si="10">L67</f>
        <v>9758507.93</v>
      </c>
      <c r="M66" s="488">
        <f t="shared" si="10"/>
        <v>10138117.93</v>
      </c>
      <c r="N66" s="489" t="s">
        <v>46</v>
      </c>
      <c r="O66" s="526"/>
      <c r="P66" s="526"/>
      <c r="Q66" s="526"/>
      <c r="R66" s="526"/>
      <c r="S66" s="526"/>
      <c r="T66" s="526"/>
      <c r="U66" s="526"/>
      <c r="V66" s="526"/>
      <c r="W66" s="526"/>
      <c r="X66" s="526"/>
      <c r="Y66" s="526"/>
      <c r="Z66" s="526"/>
      <c r="AA66" s="526"/>
      <c r="AB66" s="526"/>
      <c r="AC66" s="526"/>
      <c r="AD66" s="526"/>
      <c r="AE66" s="526"/>
      <c r="AF66" s="526"/>
      <c r="AG66" s="526"/>
      <c r="AH66" s="526"/>
      <c r="AI66" s="526"/>
      <c r="AJ66" s="526"/>
      <c r="AK66" s="526"/>
      <c r="AL66" s="526"/>
      <c r="AM66" s="526"/>
      <c r="AN66" s="526"/>
      <c r="AO66" s="526"/>
      <c r="AP66" s="526"/>
      <c r="AQ66" s="526"/>
      <c r="AR66" s="526"/>
      <c r="AS66" s="526"/>
      <c r="AT66" s="526"/>
      <c r="AU66" s="526"/>
    </row>
    <row r="67" spans="2:14">
      <c r="B67" s="364"/>
      <c r="C67" s="365"/>
      <c r="D67" s="365"/>
      <c r="E67" s="365"/>
      <c r="F67" s="365"/>
      <c r="G67" s="366"/>
      <c r="H67" s="538"/>
      <c r="I67" s="564"/>
      <c r="J67" s="569" t="s">
        <v>101</v>
      </c>
      <c r="K67" s="449">
        <f>вспомогательная!K96</f>
        <v>9402371.93</v>
      </c>
      <c r="L67" s="449">
        <f>вспомогательная!L96</f>
        <v>9758507.93</v>
      </c>
      <c r="M67" s="449">
        <f>вспомогательная!M96</f>
        <v>10138117.93</v>
      </c>
      <c r="N67" s="423"/>
    </row>
    <row r="68" hidden="1" spans="2:14">
      <c r="B68" s="364"/>
      <c r="C68" s="365"/>
      <c r="D68" s="365"/>
      <c r="E68" s="365"/>
      <c r="F68" s="365"/>
      <c r="G68" s="366"/>
      <c r="H68" s="538"/>
      <c r="I68" s="564"/>
      <c r="J68" s="569"/>
      <c r="K68" s="449"/>
      <c r="L68" s="449"/>
      <c r="M68" s="449"/>
      <c r="N68" s="423"/>
    </row>
    <row r="69" hidden="1" spans="2:14">
      <c r="B69" s="364"/>
      <c r="C69" s="365"/>
      <c r="D69" s="365"/>
      <c r="E69" s="365"/>
      <c r="F69" s="365"/>
      <c r="G69" s="366"/>
      <c r="H69" s="538"/>
      <c r="I69" s="564"/>
      <c r="J69" s="558"/>
      <c r="K69" s="422"/>
      <c r="L69" s="422"/>
      <c r="M69" s="422"/>
      <c r="N69" s="423"/>
    </row>
    <row r="70" hidden="1" spans="2:14">
      <c r="B70" s="364"/>
      <c r="C70" s="365"/>
      <c r="D70" s="365"/>
      <c r="E70" s="365"/>
      <c r="F70" s="365"/>
      <c r="G70" s="366"/>
      <c r="H70" s="538"/>
      <c r="I70" s="564"/>
      <c r="J70" s="569"/>
      <c r="K70" s="449"/>
      <c r="L70" s="449"/>
      <c r="M70" s="449"/>
      <c r="N70" s="423"/>
    </row>
    <row r="71" hidden="1" spans="2:14">
      <c r="B71" s="364"/>
      <c r="C71" s="365"/>
      <c r="D71" s="365"/>
      <c r="E71" s="365"/>
      <c r="F71" s="365"/>
      <c r="G71" s="366"/>
      <c r="H71" s="538"/>
      <c r="I71" s="564"/>
      <c r="J71" s="558"/>
      <c r="K71" s="422"/>
      <c r="L71" s="422"/>
      <c r="M71" s="422"/>
      <c r="N71" s="423"/>
    </row>
    <row r="72" hidden="1" spans="2:14">
      <c r="B72" s="459"/>
      <c r="C72" s="460"/>
      <c r="D72" s="460"/>
      <c r="E72" s="460"/>
      <c r="F72" s="460"/>
      <c r="G72" s="460"/>
      <c r="H72" s="538"/>
      <c r="I72" s="564"/>
      <c r="J72" s="569"/>
      <c r="K72" s="449"/>
      <c r="L72" s="449"/>
      <c r="M72" s="449"/>
      <c r="N72" s="423"/>
    </row>
    <row r="73" hidden="1" spans="2:14">
      <c r="B73" s="459"/>
      <c r="C73" s="460"/>
      <c r="D73" s="460"/>
      <c r="E73" s="460"/>
      <c r="F73" s="460"/>
      <c r="G73" s="460"/>
      <c r="H73" s="538"/>
      <c r="I73" s="564"/>
      <c r="J73" s="558"/>
      <c r="K73" s="422"/>
      <c r="L73" s="422"/>
      <c r="M73" s="422"/>
      <c r="N73" s="423"/>
    </row>
    <row r="74" hidden="1" spans="2:14">
      <c r="B74" s="459"/>
      <c r="C74" s="460"/>
      <c r="D74" s="460"/>
      <c r="E74" s="460"/>
      <c r="F74" s="460"/>
      <c r="G74" s="460"/>
      <c r="H74" s="538"/>
      <c r="I74" s="564"/>
      <c r="J74" s="569"/>
      <c r="K74" s="449"/>
      <c r="L74" s="449"/>
      <c r="M74" s="449"/>
      <c r="N74" s="423"/>
    </row>
    <row r="75" hidden="1" spans="2:14">
      <c r="B75" s="459"/>
      <c r="C75" s="460"/>
      <c r="D75" s="460"/>
      <c r="E75" s="460"/>
      <c r="F75" s="460"/>
      <c r="G75" s="460"/>
      <c r="H75" s="538"/>
      <c r="I75" s="564"/>
      <c r="J75" s="558"/>
      <c r="K75" s="422"/>
      <c r="L75" s="422"/>
      <c r="M75" s="422"/>
      <c r="N75" s="423"/>
    </row>
    <row r="76" s="527" customFormat="1" spans="2:47">
      <c r="B76" s="471" t="s">
        <v>102</v>
      </c>
      <c r="C76" s="472"/>
      <c r="D76" s="472"/>
      <c r="E76" s="472"/>
      <c r="F76" s="472"/>
      <c r="G76" s="472"/>
      <c r="H76" s="572" t="s">
        <v>103</v>
      </c>
      <c r="I76" s="489" t="s">
        <v>98</v>
      </c>
      <c r="J76" s="572"/>
      <c r="K76" s="488">
        <f>K77+K78+K79</f>
        <v>0</v>
      </c>
      <c r="L76" s="488">
        <f t="shared" ref="L76:M76" si="11">L77+L78+L79</f>
        <v>0</v>
      </c>
      <c r="M76" s="488">
        <f t="shared" si="11"/>
        <v>0</v>
      </c>
      <c r="N76" s="489" t="s">
        <v>46</v>
      </c>
      <c r="O76" s="526"/>
      <c r="P76" s="526"/>
      <c r="Q76" s="526"/>
      <c r="R76" s="526"/>
      <c r="S76" s="526"/>
      <c r="T76" s="526"/>
      <c r="U76" s="526"/>
      <c r="V76" s="526"/>
      <c r="W76" s="526"/>
      <c r="X76" s="526"/>
      <c r="Y76" s="526"/>
      <c r="Z76" s="526"/>
      <c r="AA76" s="526"/>
      <c r="AB76" s="526"/>
      <c r="AC76" s="526"/>
      <c r="AD76" s="526"/>
      <c r="AE76" s="526"/>
      <c r="AF76" s="526"/>
      <c r="AG76" s="526"/>
      <c r="AH76" s="526"/>
      <c r="AI76" s="526"/>
      <c r="AJ76" s="526"/>
      <c r="AK76" s="526"/>
      <c r="AL76" s="526"/>
      <c r="AM76" s="526"/>
      <c r="AN76" s="526"/>
      <c r="AO76" s="526"/>
      <c r="AP76" s="526"/>
      <c r="AQ76" s="526"/>
      <c r="AR76" s="526"/>
      <c r="AS76" s="526"/>
      <c r="AT76" s="526"/>
      <c r="AU76" s="526"/>
    </row>
    <row r="77" hidden="1" spans="2:14">
      <c r="B77" s="364"/>
      <c r="C77" s="365"/>
      <c r="D77" s="365"/>
      <c r="E77" s="365"/>
      <c r="F77" s="365"/>
      <c r="G77" s="366"/>
      <c r="H77" s="573"/>
      <c r="I77" s="581"/>
      <c r="J77" s="558"/>
      <c r="K77" s="422"/>
      <c r="L77" s="422"/>
      <c r="M77" s="422"/>
      <c r="N77" s="423"/>
    </row>
    <row r="78" hidden="1" spans="2:14">
      <c r="B78" s="364"/>
      <c r="C78" s="365"/>
      <c r="D78" s="365"/>
      <c r="E78" s="365"/>
      <c r="F78" s="365"/>
      <c r="G78" s="366"/>
      <c r="H78" s="538"/>
      <c r="I78" s="564"/>
      <c r="J78" s="558"/>
      <c r="K78" s="422"/>
      <c r="L78" s="422"/>
      <c r="M78" s="422"/>
      <c r="N78" s="423"/>
    </row>
    <row r="79" hidden="1" spans="2:14">
      <c r="B79" s="364"/>
      <c r="C79" s="365"/>
      <c r="D79" s="365"/>
      <c r="E79" s="365"/>
      <c r="F79" s="365"/>
      <c r="G79" s="366"/>
      <c r="H79" s="538"/>
      <c r="I79" s="564"/>
      <c r="J79" s="558"/>
      <c r="K79" s="422"/>
      <c r="L79" s="422"/>
      <c r="M79" s="422"/>
      <c r="N79" s="423"/>
    </row>
    <row r="80" s="525" customFormat="1" spans="1:67">
      <c r="A80" s="526"/>
      <c r="B80" s="474" t="s">
        <v>104</v>
      </c>
      <c r="C80" s="475"/>
      <c r="D80" s="475"/>
      <c r="E80" s="475"/>
      <c r="F80" s="475"/>
      <c r="G80" s="475"/>
      <c r="H80" s="542" t="s">
        <v>105</v>
      </c>
      <c r="I80" s="445" t="s">
        <v>106</v>
      </c>
      <c r="J80" s="568"/>
      <c r="K80" s="444">
        <f>K81+K83+K85</f>
        <v>1288300</v>
      </c>
      <c r="L80" s="444">
        <f>L81+L83+L85</f>
        <v>1285300</v>
      </c>
      <c r="M80" s="444">
        <f>M81+M83+M85</f>
        <v>1285300</v>
      </c>
      <c r="N80" s="480" t="s">
        <v>46</v>
      </c>
      <c r="O80" s="526"/>
      <c r="P80" s="526"/>
      <c r="Q80" s="526"/>
      <c r="R80" s="526"/>
      <c r="S80" s="526"/>
      <c r="T80" s="526"/>
      <c r="U80" s="526"/>
      <c r="V80" s="526"/>
      <c r="W80" s="526"/>
      <c r="X80" s="526"/>
      <c r="Y80" s="526"/>
      <c r="Z80" s="526"/>
      <c r="AA80" s="526"/>
      <c r="AB80" s="526"/>
      <c r="AC80" s="526"/>
      <c r="AD80" s="526"/>
      <c r="AE80" s="526"/>
      <c r="AF80" s="526"/>
      <c r="AG80" s="526"/>
      <c r="AH80" s="526"/>
      <c r="AI80" s="526"/>
      <c r="AJ80" s="526"/>
      <c r="AK80" s="526"/>
      <c r="AL80" s="526"/>
      <c r="AM80" s="526"/>
      <c r="AN80" s="526"/>
      <c r="AO80" s="526"/>
      <c r="AP80" s="526"/>
      <c r="AQ80" s="526"/>
      <c r="AR80" s="526"/>
      <c r="AS80" s="526"/>
      <c r="AT80" s="526"/>
      <c r="AU80" s="526"/>
      <c r="AV80" s="526"/>
      <c r="AW80" s="526"/>
      <c r="AX80" s="526"/>
      <c r="AY80" s="526"/>
      <c r="AZ80" s="526"/>
      <c r="BA80" s="526"/>
      <c r="BB80" s="526"/>
      <c r="BC80" s="526"/>
      <c r="BD80" s="526"/>
      <c r="BE80" s="526"/>
      <c r="BF80" s="526"/>
      <c r="BG80" s="526"/>
      <c r="BH80" s="526"/>
      <c r="BI80" s="526"/>
      <c r="BJ80" s="526"/>
      <c r="BK80" s="526"/>
      <c r="BL80" s="526"/>
      <c r="BM80" s="526"/>
      <c r="BN80" s="526"/>
      <c r="BO80" s="526"/>
    </row>
    <row r="81" s="527" customFormat="1" spans="2:47">
      <c r="B81" s="476" t="s">
        <v>107</v>
      </c>
      <c r="C81" s="477"/>
      <c r="D81" s="477"/>
      <c r="E81" s="477"/>
      <c r="F81" s="477"/>
      <c r="G81" s="477"/>
      <c r="H81" s="571" t="s">
        <v>108</v>
      </c>
      <c r="I81" s="580" t="s">
        <v>109</v>
      </c>
      <c r="J81" s="572"/>
      <c r="K81" s="488">
        <f>K82</f>
        <v>1275300</v>
      </c>
      <c r="L81" s="488">
        <f t="shared" ref="L81:M81" si="12">L82</f>
        <v>1275300</v>
      </c>
      <c r="M81" s="488">
        <f t="shared" si="12"/>
        <v>1275300</v>
      </c>
      <c r="N81" s="489" t="s">
        <v>46</v>
      </c>
      <c r="O81" s="526"/>
      <c r="P81" s="526"/>
      <c r="Q81" s="526"/>
      <c r="R81" s="526"/>
      <c r="S81" s="526"/>
      <c r="T81" s="526"/>
      <c r="U81" s="526"/>
      <c r="V81" s="526"/>
      <c r="W81" s="526"/>
      <c r="X81" s="526"/>
      <c r="Y81" s="526"/>
      <c r="Z81" s="526"/>
      <c r="AA81" s="526"/>
      <c r="AB81" s="526"/>
      <c r="AC81" s="526"/>
      <c r="AD81" s="526"/>
      <c r="AE81" s="526"/>
      <c r="AF81" s="526"/>
      <c r="AG81" s="526"/>
      <c r="AH81" s="526"/>
      <c r="AI81" s="526"/>
      <c r="AJ81" s="526"/>
      <c r="AK81" s="526"/>
      <c r="AL81" s="526"/>
      <c r="AM81" s="526"/>
      <c r="AN81" s="526"/>
      <c r="AO81" s="526"/>
      <c r="AP81" s="526"/>
      <c r="AQ81" s="526"/>
      <c r="AR81" s="526"/>
      <c r="AS81" s="526"/>
      <c r="AT81" s="526"/>
      <c r="AU81" s="526"/>
    </row>
    <row r="82" spans="2:14">
      <c r="B82" s="364"/>
      <c r="C82" s="365"/>
      <c r="D82" s="365"/>
      <c r="E82" s="365"/>
      <c r="F82" s="365"/>
      <c r="G82" s="366"/>
      <c r="H82" s="498"/>
      <c r="I82" s="450"/>
      <c r="J82" s="569" t="s">
        <v>110</v>
      </c>
      <c r="K82" s="449">
        <f>вспомогательная!K120</f>
        <v>1275300</v>
      </c>
      <c r="L82" s="449">
        <f>вспомогательная!L120</f>
        <v>1275300</v>
      </c>
      <c r="M82" s="449">
        <f>вспомогательная!M120</f>
        <v>1275300</v>
      </c>
      <c r="N82" s="423"/>
    </row>
    <row r="83" s="527" customFormat="1" ht="25.5" customHeight="1" spans="2:47">
      <c r="B83" s="476" t="s">
        <v>111</v>
      </c>
      <c r="C83" s="477"/>
      <c r="D83" s="477"/>
      <c r="E83" s="477"/>
      <c r="F83" s="477"/>
      <c r="G83" s="477"/>
      <c r="H83" s="571" t="s">
        <v>112</v>
      </c>
      <c r="I83" s="580" t="s">
        <v>113</v>
      </c>
      <c r="J83" s="572"/>
      <c r="K83" s="488">
        <f>K84</f>
        <v>13000</v>
      </c>
      <c r="L83" s="488">
        <f t="shared" ref="L83:M83" si="13">L84</f>
        <v>10000</v>
      </c>
      <c r="M83" s="488">
        <f t="shared" si="13"/>
        <v>10000</v>
      </c>
      <c r="N83" s="489" t="s">
        <v>46</v>
      </c>
      <c r="O83" s="526"/>
      <c r="P83" s="526"/>
      <c r="Q83" s="526"/>
      <c r="R83" s="526"/>
      <c r="S83" s="526"/>
      <c r="T83" s="526"/>
      <c r="U83" s="526"/>
      <c r="V83" s="526"/>
      <c r="W83" s="526"/>
      <c r="X83" s="526"/>
      <c r="Y83" s="526"/>
      <c r="Z83" s="526"/>
      <c r="AA83" s="526"/>
      <c r="AB83" s="526"/>
      <c r="AC83" s="526"/>
      <c r="AD83" s="526"/>
      <c r="AE83" s="526"/>
      <c r="AF83" s="526"/>
      <c r="AG83" s="526"/>
      <c r="AH83" s="526"/>
      <c r="AI83" s="526"/>
      <c r="AJ83" s="526"/>
      <c r="AK83" s="526"/>
      <c r="AL83" s="526"/>
      <c r="AM83" s="526"/>
      <c r="AN83" s="526"/>
      <c r="AO83" s="526"/>
      <c r="AP83" s="526"/>
      <c r="AQ83" s="526"/>
      <c r="AR83" s="526"/>
      <c r="AS83" s="526"/>
      <c r="AT83" s="526"/>
      <c r="AU83" s="526"/>
    </row>
    <row r="84" spans="2:14">
      <c r="B84" s="364"/>
      <c r="C84" s="365"/>
      <c r="D84" s="365"/>
      <c r="E84" s="365"/>
      <c r="F84" s="365"/>
      <c r="G84" s="366"/>
      <c r="H84" s="498"/>
      <c r="I84" s="450"/>
      <c r="J84" s="558">
        <v>291</v>
      </c>
      <c r="K84" s="422">
        <f>вспомогательная!K125+вспомогательная!K126</f>
        <v>13000</v>
      </c>
      <c r="L84" s="422">
        <f>вспомогательная!L125</f>
        <v>10000</v>
      </c>
      <c r="M84" s="422">
        <f>вспомогательная!M125</f>
        <v>10000</v>
      </c>
      <c r="N84" s="423"/>
    </row>
    <row r="85" s="527" customFormat="1" ht="21.75" customHeight="1" spans="2:47">
      <c r="B85" s="476" t="s">
        <v>114</v>
      </c>
      <c r="C85" s="477"/>
      <c r="D85" s="477"/>
      <c r="E85" s="477"/>
      <c r="F85" s="477"/>
      <c r="G85" s="477"/>
      <c r="H85" s="571" t="s">
        <v>115</v>
      </c>
      <c r="I85" s="580" t="s">
        <v>116</v>
      </c>
      <c r="J85" s="572"/>
      <c r="K85" s="488">
        <f>K86</f>
        <v>0</v>
      </c>
      <c r="L85" s="488">
        <f t="shared" ref="L85:M85" si="14">L86</f>
        <v>0</v>
      </c>
      <c r="M85" s="488">
        <f t="shared" si="14"/>
        <v>0</v>
      </c>
      <c r="N85" s="489" t="s">
        <v>46</v>
      </c>
      <c r="O85" s="526"/>
      <c r="P85" s="526"/>
      <c r="Q85" s="526"/>
      <c r="R85" s="526"/>
      <c r="S85" s="526"/>
      <c r="T85" s="526"/>
      <c r="U85" s="526"/>
      <c r="V85" s="526"/>
      <c r="W85" s="526"/>
      <c r="X85" s="526"/>
      <c r="Y85" s="526"/>
      <c r="Z85" s="526"/>
      <c r="AA85" s="526"/>
      <c r="AB85" s="526"/>
      <c r="AC85" s="526"/>
      <c r="AD85" s="526"/>
      <c r="AE85" s="526"/>
      <c r="AF85" s="526"/>
      <c r="AG85" s="526"/>
      <c r="AH85" s="526"/>
      <c r="AI85" s="526"/>
      <c r="AJ85" s="526"/>
      <c r="AK85" s="526"/>
      <c r="AL85" s="526"/>
      <c r="AM85" s="526"/>
      <c r="AN85" s="526"/>
      <c r="AO85" s="526"/>
      <c r="AP85" s="526"/>
      <c r="AQ85" s="526"/>
      <c r="AR85" s="526"/>
      <c r="AS85" s="526"/>
      <c r="AT85" s="526"/>
      <c r="AU85" s="526"/>
    </row>
    <row r="86" hidden="1" spans="2:14">
      <c r="B86" s="364"/>
      <c r="C86" s="365"/>
      <c r="D86" s="365"/>
      <c r="E86" s="365"/>
      <c r="F86" s="365"/>
      <c r="G86" s="366"/>
      <c r="H86" s="498"/>
      <c r="I86" s="450"/>
      <c r="J86" s="558"/>
      <c r="K86" s="422"/>
      <c r="L86" s="422"/>
      <c r="M86" s="422"/>
      <c r="N86" s="423"/>
    </row>
    <row r="87" s="525" customFormat="1" spans="1:67">
      <c r="A87" s="526"/>
      <c r="B87" s="474" t="s">
        <v>117</v>
      </c>
      <c r="C87" s="475"/>
      <c r="D87" s="475"/>
      <c r="E87" s="475"/>
      <c r="F87" s="475"/>
      <c r="G87" s="475"/>
      <c r="H87" s="542" t="s">
        <v>118</v>
      </c>
      <c r="I87" s="445" t="s">
        <v>46</v>
      </c>
      <c r="J87" s="568"/>
      <c r="K87" s="444">
        <f>K88</f>
        <v>0</v>
      </c>
      <c r="L87" s="444">
        <f t="shared" ref="L87:M87" si="15">L88</f>
        <v>0</v>
      </c>
      <c r="M87" s="444">
        <f t="shared" si="15"/>
        <v>0</v>
      </c>
      <c r="N87" s="480" t="s">
        <v>46</v>
      </c>
      <c r="O87" s="526"/>
      <c r="P87" s="526"/>
      <c r="Q87" s="526"/>
      <c r="R87" s="526"/>
      <c r="S87" s="526"/>
      <c r="T87" s="526"/>
      <c r="U87" s="526"/>
      <c r="V87" s="526"/>
      <c r="W87" s="526"/>
      <c r="X87" s="526"/>
      <c r="Y87" s="526"/>
      <c r="Z87" s="526"/>
      <c r="AA87" s="526"/>
      <c r="AB87" s="526"/>
      <c r="AC87" s="526"/>
      <c r="AD87" s="526"/>
      <c r="AE87" s="526"/>
      <c r="AF87" s="526"/>
      <c r="AG87" s="526"/>
      <c r="AH87" s="526"/>
      <c r="AI87" s="526"/>
      <c r="AJ87" s="526"/>
      <c r="AK87" s="526"/>
      <c r="AL87" s="526"/>
      <c r="AM87" s="526"/>
      <c r="AN87" s="526"/>
      <c r="AO87" s="526"/>
      <c r="AP87" s="526"/>
      <c r="AQ87" s="526"/>
      <c r="AR87" s="526"/>
      <c r="AS87" s="526"/>
      <c r="AT87" s="526"/>
      <c r="AU87" s="526"/>
      <c r="AV87" s="526"/>
      <c r="AW87" s="526"/>
      <c r="AX87" s="526"/>
      <c r="AY87" s="526"/>
      <c r="AZ87" s="526"/>
      <c r="BA87" s="526"/>
      <c r="BB87" s="526"/>
      <c r="BC87" s="526"/>
      <c r="BD87" s="526"/>
      <c r="BE87" s="526"/>
      <c r="BF87" s="526"/>
      <c r="BG87" s="526"/>
      <c r="BH87" s="526"/>
      <c r="BI87" s="526"/>
      <c r="BJ87" s="526"/>
      <c r="BK87" s="526"/>
      <c r="BL87" s="526"/>
      <c r="BM87" s="526"/>
      <c r="BN87" s="526"/>
      <c r="BO87" s="526"/>
    </row>
    <row r="88" ht="40.5" customHeight="1" spans="2:14">
      <c r="B88" s="362" t="s">
        <v>119</v>
      </c>
      <c r="C88" s="363"/>
      <c r="D88" s="363"/>
      <c r="E88" s="363"/>
      <c r="F88" s="363"/>
      <c r="G88" s="363"/>
      <c r="H88" s="498" t="s">
        <v>120</v>
      </c>
      <c r="I88" s="450" t="s">
        <v>121</v>
      </c>
      <c r="J88" s="558"/>
      <c r="K88" s="422"/>
      <c r="L88" s="422"/>
      <c r="M88" s="422"/>
      <c r="N88" s="423" t="s">
        <v>46</v>
      </c>
    </row>
    <row r="89" s="525" customFormat="1" spans="1:67">
      <c r="A89" s="526"/>
      <c r="B89" s="474" t="s">
        <v>122</v>
      </c>
      <c r="C89" s="475"/>
      <c r="D89" s="475"/>
      <c r="E89" s="475"/>
      <c r="F89" s="475"/>
      <c r="G89" s="475"/>
      <c r="H89" s="542" t="s">
        <v>123</v>
      </c>
      <c r="I89" s="445" t="s">
        <v>46</v>
      </c>
      <c r="J89" s="568"/>
      <c r="K89" s="444">
        <f>K90+K92+K94+K96</f>
        <v>10341854.88</v>
      </c>
      <c r="L89" s="444">
        <f>L90+L92+L94+L96</f>
        <v>10086354.88</v>
      </c>
      <c r="M89" s="444">
        <f>M90+M92+M94+M96</f>
        <v>10184354.88</v>
      </c>
      <c r="N89" s="480"/>
      <c r="O89" s="526"/>
      <c r="P89" s="526"/>
      <c r="Q89" s="526"/>
      <c r="R89" s="526"/>
      <c r="S89" s="526"/>
      <c r="T89" s="526"/>
      <c r="U89" s="526"/>
      <c r="V89" s="526"/>
      <c r="W89" s="526"/>
      <c r="X89" s="526"/>
      <c r="Y89" s="526"/>
      <c r="Z89" s="526"/>
      <c r="AA89" s="526"/>
      <c r="AB89" s="526"/>
      <c r="AC89" s="526"/>
      <c r="AD89" s="526"/>
      <c r="AE89" s="526"/>
      <c r="AF89" s="526"/>
      <c r="AG89" s="526"/>
      <c r="AH89" s="526"/>
      <c r="AI89" s="526"/>
      <c r="AJ89" s="526"/>
      <c r="AK89" s="526"/>
      <c r="AL89" s="526"/>
      <c r="AM89" s="526"/>
      <c r="AN89" s="526"/>
      <c r="AO89" s="526"/>
      <c r="AP89" s="526"/>
      <c r="AQ89" s="526"/>
      <c r="AR89" s="526"/>
      <c r="AS89" s="526"/>
      <c r="AT89" s="526"/>
      <c r="AU89" s="526"/>
      <c r="AV89" s="526"/>
      <c r="AW89" s="526"/>
      <c r="AX89" s="526"/>
      <c r="AY89" s="526"/>
      <c r="AZ89" s="526"/>
      <c r="BA89" s="526"/>
      <c r="BB89" s="526"/>
      <c r="BC89" s="526"/>
      <c r="BD89" s="526"/>
      <c r="BE89" s="526"/>
      <c r="BF89" s="526"/>
      <c r="BG89" s="526"/>
      <c r="BH89" s="526"/>
      <c r="BI89" s="526"/>
      <c r="BJ89" s="526"/>
      <c r="BK89" s="526"/>
      <c r="BL89" s="526"/>
      <c r="BM89" s="526"/>
      <c r="BN89" s="526"/>
      <c r="BO89" s="526"/>
    </row>
    <row r="90" s="527" customFormat="1" spans="2:47">
      <c r="B90" s="476" t="s">
        <v>124</v>
      </c>
      <c r="C90" s="477"/>
      <c r="D90" s="477"/>
      <c r="E90" s="477"/>
      <c r="F90" s="477"/>
      <c r="G90" s="477"/>
      <c r="H90" s="571" t="s">
        <v>125</v>
      </c>
      <c r="I90" s="580" t="s">
        <v>126</v>
      </c>
      <c r="J90" s="572"/>
      <c r="K90" s="488">
        <f>K91</f>
        <v>0</v>
      </c>
      <c r="L90" s="488">
        <f t="shared" ref="L90:M90" si="16">L91</f>
        <v>0</v>
      </c>
      <c r="M90" s="488">
        <f t="shared" si="16"/>
        <v>0</v>
      </c>
      <c r="N90" s="489"/>
      <c r="O90" s="526"/>
      <c r="P90" s="526"/>
      <c r="Q90" s="526"/>
      <c r="R90" s="526"/>
      <c r="S90" s="526"/>
      <c r="T90" s="526"/>
      <c r="U90" s="526"/>
      <c r="V90" s="526"/>
      <c r="W90" s="526"/>
      <c r="X90" s="526"/>
      <c r="Y90" s="526"/>
      <c r="Z90" s="526"/>
      <c r="AA90" s="526"/>
      <c r="AB90" s="526"/>
      <c r="AC90" s="526"/>
      <c r="AD90" s="526"/>
      <c r="AE90" s="526"/>
      <c r="AF90" s="526"/>
      <c r="AG90" s="526"/>
      <c r="AH90" s="526"/>
      <c r="AI90" s="526"/>
      <c r="AJ90" s="526"/>
      <c r="AK90" s="526"/>
      <c r="AL90" s="526"/>
      <c r="AM90" s="526"/>
      <c r="AN90" s="526"/>
      <c r="AO90" s="526"/>
      <c r="AP90" s="526"/>
      <c r="AQ90" s="526"/>
      <c r="AR90" s="526"/>
      <c r="AS90" s="526"/>
      <c r="AT90" s="526"/>
      <c r="AU90" s="526"/>
    </row>
    <row r="91" hidden="1" spans="2:14">
      <c r="B91" s="364"/>
      <c r="C91" s="365"/>
      <c r="D91" s="365"/>
      <c r="E91" s="365"/>
      <c r="F91" s="365"/>
      <c r="G91" s="366"/>
      <c r="H91" s="498"/>
      <c r="I91" s="450"/>
      <c r="J91" s="558"/>
      <c r="K91" s="422"/>
      <c r="L91" s="422"/>
      <c r="M91" s="422"/>
      <c r="N91" s="423"/>
    </row>
    <row r="92" s="527" customFormat="1" ht="28.5" customHeight="1" spans="2:47">
      <c r="B92" s="476" t="s">
        <v>127</v>
      </c>
      <c r="C92" s="477"/>
      <c r="D92" s="477"/>
      <c r="E92" s="477"/>
      <c r="F92" s="477"/>
      <c r="G92" s="477"/>
      <c r="H92" s="572" t="s">
        <v>128</v>
      </c>
      <c r="I92" s="489" t="s">
        <v>129</v>
      </c>
      <c r="J92" s="572"/>
      <c r="K92" s="488">
        <f>K93</f>
        <v>0</v>
      </c>
      <c r="L92" s="488">
        <f t="shared" ref="L92:M92" si="17">L93</f>
        <v>0</v>
      </c>
      <c r="M92" s="488">
        <f t="shared" si="17"/>
        <v>0</v>
      </c>
      <c r="N92" s="489"/>
      <c r="O92" s="526"/>
      <c r="P92" s="526"/>
      <c r="Q92" s="526"/>
      <c r="R92" s="526"/>
      <c r="S92" s="526"/>
      <c r="T92" s="526"/>
      <c r="U92" s="526"/>
      <c r="V92" s="526"/>
      <c r="W92" s="526"/>
      <c r="X92" s="526"/>
      <c r="Y92" s="526"/>
      <c r="Z92" s="526"/>
      <c r="AA92" s="526"/>
      <c r="AB92" s="526"/>
      <c r="AC92" s="526"/>
      <c r="AD92" s="526"/>
      <c r="AE92" s="526"/>
      <c r="AF92" s="526"/>
      <c r="AG92" s="526"/>
      <c r="AH92" s="526"/>
      <c r="AI92" s="526"/>
      <c r="AJ92" s="526"/>
      <c r="AK92" s="526"/>
      <c r="AL92" s="526"/>
      <c r="AM92" s="526"/>
      <c r="AN92" s="526"/>
      <c r="AO92" s="526"/>
      <c r="AP92" s="526"/>
      <c r="AQ92" s="526"/>
      <c r="AR92" s="526"/>
      <c r="AS92" s="526"/>
      <c r="AT92" s="526"/>
      <c r="AU92" s="526"/>
    </row>
    <row r="93" ht="15.75" hidden="1" customHeight="1" spans="2:14">
      <c r="B93" s="364"/>
      <c r="C93" s="365"/>
      <c r="D93" s="365"/>
      <c r="E93" s="365"/>
      <c r="F93" s="365"/>
      <c r="G93" s="366"/>
      <c r="H93" s="539"/>
      <c r="I93" s="563"/>
      <c r="J93" s="558"/>
      <c r="K93" s="422"/>
      <c r="L93" s="422"/>
      <c r="M93" s="422"/>
      <c r="N93" s="423"/>
    </row>
    <row r="94" s="527" customFormat="1" ht="24" customHeight="1" spans="2:47">
      <c r="B94" s="476" t="s">
        <v>130</v>
      </c>
      <c r="C94" s="477"/>
      <c r="D94" s="477"/>
      <c r="E94" s="477"/>
      <c r="F94" s="477"/>
      <c r="G94" s="477"/>
      <c r="H94" s="574" t="s">
        <v>131</v>
      </c>
      <c r="I94" s="582" t="s">
        <v>132</v>
      </c>
      <c r="J94" s="572"/>
      <c r="K94" s="488">
        <f>K95</f>
        <v>0</v>
      </c>
      <c r="L94" s="488">
        <f t="shared" ref="L94:M94" si="18">L95</f>
        <v>0</v>
      </c>
      <c r="M94" s="488">
        <f t="shared" si="18"/>
        <v>0</v>
      </c>
      <c r="N94" s="489"/>
      <c r="O94" s="526"/>
      <c r="P94" s="526"/>
      <c r="Q94" s="526"/>
      <c r="R94" s="526"/>
      <c r="S94" s="526"/>
      <c r="T94" s="526"/>
      <c r="U94" s="526"/>
      <c r="V94" s="526"/>
      <c r="W94" s="526"/>
      <c r="X94" s="526"/>
      <c r="Y94" s="526"/>
      <c r="Z94" s="526"/>
      <c r="AA94" s="526"/>
      <c r="AB94" s="526"/>
      <c r="AC94" s="526"/>
      <c r="AD94" s="526"/>
      <c r="AE94" s="526"/>
      <c r="AF94" s="526"/>
      <c r="AG94" s="526"/>
      <c r="AH94" s="526"/>
      <c r="AI94" s="526"/>
      <c r="AJ94" s="526"/>
      <c r="AK94" s="526"/>
      <c r="AL94" s="526"/>
      <c r="AM94" s="526"/>
      <c r="AN94" s="526"/>
      <c r="AO94" s="526"/>
      <c r="AP94" s="526"/>
      <c r="AQ94" s="526"/>
      <c r="AR94" s="526"/>
      <c r="AS94" s="526"/>
      <c r="AT94" s="526"/>
      <c r="AU94" s="526"/>
    </row>
    <row r="95" spans="2:14">
      <c r="B95" s="364"/>
      <c r="C95" s="365"/>
      <c r="D95" s="365"/>
      <c r="E95" s="365"/>
      <c r="F95" s="365"/>
      <c r="G95" s="366"/>
      <c r="H95" s="539"/>
      <c r="I95" s="563"/>
      <c r="J95" s="569" t="s">
        <v>133</v>
      </c>
      <c r="K95" s="449"/>
      <c r="L95" s="449"/>
      <c r="M95" s="449"/>
      <c r="N95" s="423"/>
    </row>
    <row r="96" s="527" customFormat="1" spans="2:47">
      <c r="B96" s="494" t="s">
        <v>134</v>
      </c>
      <c r="C96" s="495"/>
      <c r="D96" s="495"/>
      <c r="E96" s="495"/>
      <c r="F96" s="495"/>
      <c r="G96" s="495"/>
      <c r="H96" s="574" t="s">
        <v>135</v>
      </c>
      <c r="I96" s="582" t="s">
        <v>136</v>
      </c>
      <c r="J96" s="572"/>
      <c r="K96" s="488">
        <f>SUM(K97:K107)</f>
        <v>10341854.88</v>
      </c>
      <c r="L96" s="488">
        <f t="shared" ref="L96:N96" si="19">SUM(L97:L107)</f>
        <v>10086354.88</v>
      </c>
      <c r="M96" s="488">
        <f t="shared" si="19"/>
        <v>10184354.88</v>
      </c>
      <c r="N96" s="583">
        <f t="shared" si="19"/>
        <v>0</v>
      </c>
      <c r="O96" s="526"/>
      <c r="P96" s="526"/>
      <c r="Q96" s="526"/>
      <c r="R96" s="526"/>
      <c r="S96" s="526"/>
      <c r="T96" s="526"/>
      <c r="U96" s="526"/>
      <c r="V96" s="526"/>
      <c r="W96" s="526"/>
      <c r="X96" s="526"/>
      <c r="Y96" s="526"/>
      <c r="Z96" s="526"/>
      <c r="AA96" s="526"/>
      <c r="AB96" s="526"/>
      <c r="AC96" s="526"/>
      <c r="AD96" s="526"/>
      <c r="AE96" s="526"/>
      <c r="AF96" s="526"/>
      <c r="AG96" s="526"/>
      <c r="AH96" s="526"/>
      <c r="AI96" s="526"/>
      <c r="AJ96" s="526"/>
      <c r="AK96" s="526"/>
      <c r="AL96" s="526"/>
      <c r="AM96" s="526"/>
      <c r="AN96" s="526"/>
      <c r="AO96" s="526"/>
      <c r="AP96" s="526"/>
      <c r="AQ96" s="526"/>
      <c r="AR96" s="526"/>
      <c r="AS96" s="526"/>
      <c r="AT96" s="526"/>
      <c r="AU96" s="526"/>
    </row>
    <row r="97" s="526" customFormat="1" spans="2:71">
      <c r="B97" s="496" t="s">
        <v>137</v>
      </c>
      <c r="C97" s="497"/>
      <c r="D97" s="497"/>
      <c r="E97" s="497"/>
      <c r="F97" s="497"/>
      <c r="G97" s="497"/>
      <c r="H97" s="538"/>
      <c r="I97" s="564"/>
      <c r="J97" s="569" t="s">
        <v>138</v>
      </c>
      <c r="K97" s="422">
        <f>вспомогательная!K147</f>
        <v>77744</v>
      </c>
      <c r="L97" s="422">
        <f>вспомогательная!L147</f>
        <v>77744</v>
      </c>
      <c r="M97" s="422">
        <f>вспомогательная!M147</f>
        <v>77744</v>
      </c>
      <c r="N97" s="423"/>
      <c r="BP97" s="529"/>
      <c r="BQ97" s="529"/>
      <c r="BR97" s="529"/>
      <c r="BS97" s="529"/>
    </row>
    <row r="98" s="528" customFormat="1" hidden="1" spans="1:71">
      <c r="A98" s="526"/>
      <c r="B98" s="345"/>
      <c r="C98" s="346"/>
      <c r="D98" s="346"/>
      <c r="E98" s="346"/>
      <c r="F98" s="346"/>
      <c r="G98" s="509"/>
      <c r="H98" s="538"/>
      <c r="I98" s="564"/>
      <c r="J98" s="569" t="s">
        <v>139</v>
      </c>
      <c r="K98" s="422">
        <f>вспомогательная!K165</f>
        <v>0</v>
      </c>
      <c r="L98" s="422">
        <f>вспомогательная!L165</f>
        <v>0</v>
      </c>
      <c r="M98" s="422">
        <f>вспомогательная!M165</f>
        <v>0</v>
      </c>
      <c r="N98" s="423"/>
      <c r="O98" s="526"/>
      <c r="P98" s="526"/>
      <c r="Q98" s="526"/>
      <c r="R98" s="526"/>
      <c r="S98" s="526"/>
      <c r="T98" s="526"/>
      <c r="U98" s="526"/>
      <c r="V98" s="526"/>
      <c r="W98" s="526"/>
      <c r="X98" s="526"/>
      <c r="Y98" s="526"/>
      <c r="Z98" s="526"/>
      <c r="AA98" s="526"/>
      <c r="AB98" s="526"/>
      <c r="AC98" s="526"/>
      <c r="AD98" s="526"/>
      <c r="AE98" s="526"/>
      <c r="AF98" s="526"/>
      <c r="AG98" s="526"/>
      <c r="AH98" s="526"/>
      <c r="AI98" s="526"/>
      <c r="AJ98" s="526"/>
      <c r="AK98" s="526"/>
      <c r="AL98" s="526"/>
      <c r="AM98" s="526"/>
      <c r="AN98" s="526"/>
      <c r="AO98" s="526"/>
      <c r="AP98" s="526"/>
      <c r="AQ98" s="526"/>
      <c r="AR98" s="526"/>
      <c r="AS98" s="526"/>
      <c r="AT98" s="526"/>
      <c r="AU98" s="526"/>
      <c r="AV98" s="526"/>
      <c r="AW98" s="526"/>
      <c r="AX98" s="526"/>
      <c r="AY98" s="526"/>
      <c r="AZ98" s="526"/>
      <c r="BA98" s="526"/>
      <c r="BB98" s="526"/>
      <c r="BC98" s="526"/>
      <c r="BD98" s="526"/>
      <c r="BE98" s="526"/>
      <c r="BF98" s="526"/>
      <c r="BG98" s="526"/>
      <c r="BH98" s="526"/>
      <c r="BI98" s="526"/>
      <c r="BJ98" s="526"/>
      <c r="BK98" s="526"/>
      <c r="BL98" s="526"/>
      <c r="BM98" s="526"/>
      <c r="BN98" s="526"/>
      <c r="BO98" s="526"/>
      <c r="BP98" s="529"/>
      <c r="BQ98" s="529"/>
      <c r="BR98" s="529"/>
      <c r="BS98" s="529"/>
    </row>
    <row r="99" s="528" customFormat="1" spans="1:71">
      <c r="A99" s="526"/>
      <c r="B99" s="345" t="s">
        <v>140</v>
      </c>
      <c r="C99" s="346"/>
      <c r="D99" s="346"/>
      <c r="E99" s="346"/>
      <c r="F99" s="346"/>
      <c r="G99" s="509"/>
      <c r="H99" s="538"/>
      <c r="I99" s="564"/>
      <c r="J99" s="569" t="s">
        <v>141</v>
      </c>
      <c r="K99" s="490">
        <f>вспомогательная!K169</f>
        <v>3266571.41</v>
      </c>
      <c r="L99" s="490">
        <f>вспомогательная!L169</f>
        <v>3361071.41</v>
      </c>
      <c r="M99" s="490">
        <f>вспомогательная!M169</f>
        <v>3459071.41</v>
      </c>
      <c r="N99" s="423"/>
      <c r="O99" s="526"/>
      <c r="P99" s="526"/>
      <c r="Q99" s="526"/>
      <c r="R99" s="526"/>
      <c r="S99" s="526"/>
      <c r="T99" s="526"/>
      <c r="U99" s="526"/>
      <c r="V99" s="526"/>
      <c r="W99" s="526"/>
      <c r="X99" s="526"/>
      <c r="Y99" s="526"/>
      <c r="Z99" s="526"/>
      <c r="AA99" s="526"/>
      <c r="AB99" s="526"/>
      <c r="AC99" s="526"/>
      <c r="AD99" s="526"/>
      <c r="AE99" s="526"/>
      <c r="AF99" s="526"/>
      <c r="AG99" s="526"/>
      <c r="AH99" s="526"/>
      <c r="AI99" s="526"/>
      <c r="AJ99" s="526"/>
      <c r="AK99" s="526"/>
      <c r="AL99" s="526"/>
      <c r="AM99" s="526"/>
      <c r="AN99" s="526"/>
      <c r="AO99" s="526"/>
      <c r="AP99" s="526"/>
      <c r="AQ99" s="526"/>
      <c r="AR99" s="526"/>
      <c r="AS99" s="526"/>
      <c r="AT99" s="526"/>
      <c r="AU99" s="526"/>
      <c r="AV99" s="526"/>
      <c r="AW99" s="526"/>
      <c r="AX99" s="526"/>
      <c r="AY99" s="526"/>
      <c r="AZ99" s="526"/>
      <c r="BA99" s="526"/>
      <c r="BB99" s="526"/>
      <c r="BC99" s="526"/>
      <c r="BD99" s="526"/>
      <c r="BE99" s="526"/>
      <c r="BF99" s="526"/>
      <c r="BG99" s="526"/>
      <c r="BH99" s="526"/>
      <c r="BI99" s="526"/>
      <c r="BJ99" s="526"/>
      <c r="BK99" s="526"/>
      <c r="BL99" s="526"/>
      <c r="BM99" s="526"/>
      <c r="BN99" s="526"/>
      <c r="BO99" s="526"/>
      <c r="BP99" s="529"/>
      <c r="BQ99" s="529"/>
      <c r="BR99" s="529"/>
      <c r="BS99" s="529"/>
    </row>
    <row r="100" s="528" customFormat="1" spans="1:71">
      <c r="A100" s="526"/>
      <c r="B100" s="345" t="s">
        <v>142</v>
      </c>
      <c r="C100" s="346"/>
      <c r="D100" s="346"/>
      <c r="E100" s="346"/>
      <c r="F100" s="346"/>
      <c r="G100" s="509"/>
      <c r="H100" s="538"/>
      <c r="I100" s="564"/>
      <c r="J100" s="569" t="s">
        <v>143</v>
      </c>
      <c r="K100" s="422">
        <f>вспомогательная!K187</f>
        <v>1101736.91</v>
      </c>
      <c r="L100" s="422">
        <f>вспомогательная!L187</f>
        <v>808858.47</v>
      </c>
      <c r="M100" s="422">
        <f>вспомогательная!M187</f>
        <v>808858.47</v>
      </c>
      <c r="N100" s="423"/>
      <c r="O100" s="526"/>
      <c r="P100" s="526"/>
      <c r="Q100" s="526"/>
      <c r="R100" s="526"/>
      <c r="S100" s="526"/>
      <c r="T100" s="526"/>
      <c r="U100" s="526"/>
      <c r="V100" s="526"/>
      <c r="W100" s="526"/>
      <c r="X100" s="526"/>
      <c r="Y100" s="526"/>
      <c r="Z100" s="526"/>
      <c r="AA100" s="526"/>
      <c r="AB100" s="526"/>
      <c r="AC100" s="526"/>
      <c r="AD100" s="526"/>
      <c r="AE100" s="526"/>
      <c r="AF100" s="526"/>
      <c r="AG100" s="526"/>
      <c r="AH100" s="526"/>
      <c r="AI100" s="526"/>
      <c r="AJ100" s="526"/>
      <c r="AK100" s="526"/>
      <c r="AL100" s="526"/>
      <c r="AM100" s="526"/>
      <c r="AN100" s="526"/>
      <c r="AO100" s="526"/>
      <c r="AP100" s="526"/>
      <c r="AQ100" s="526"/>
      <c r="AR100" s="526"/>
      <c r="AS100" s="526"/>
      <c r="AT100" s="526"/>
      <c r="AU100" s="526"/>
      <c r="AV100" s="526"/>
      <c r="AW100" s="526"/>
      <c r="AX100" s="526"/>
      <c r="AY100" s="526"/>
      <c r="AZ100" s="526"/>
      <c r="BA100" s="526"/>
      <c r="BB100" s="526"/>
      <c r="BC100" s="526"/>
      <c r="BD100" s="526"/>
      <c r="BE100" s="526"/>
      <c r="BF100" s="526"/>
      <c r="BG100" s="526"/>
      <c r="BH100" s="526"/>
      <c r="BI100" s="526"/>
      <c r="BJ100" s="526"/>
      <c r="BK100" s="526"/>
      <c r="BL100" s="526"/>
      <c r="BM100" s="526"/>
      <c r="BN100" s="526"/>
      <c r="BO100" s="526"/>
      <c r="BP100" s="529"/>
      <c r="BQ100" s="529"/>
      <c r="BR100" s="529"/>
      <c r="BS100" s="529"/>
    </row>
    <row r="101" s="528" customFormat="1" spans="1:71">
      <c r="A101" s="526"/>
      <c r="B101" s="345" t="s">
        <v>144</v>
      </c>
      <c r="C101" s="346"/>
      <c r="D101" s="346"/>
      <c r="E101" s="346"/>
      <c r="F101" s="346"/>
      <c r="G101" s="509"/>
      <c r="H101" s="538"/>
      <c r="I101" s="564"/>
      <c r="J101" s="569" t="s">
        <v>133</v>
      </c>
      <c r="K101" s="422">
        <f>вспомогательная!K205</f>
        <v>5134115.56</v>
      </c>
      <c r="L101" s="422">
        <f>вспомогательная!L205</f>
        <v>5125594</v>
      </c>
      <c r="M101" s="422">
        <f>вспомогательная!M205</f>
        <v>5125594</v>
      </c>
      <c r="N101" s="423"/>
      <c r="O101" s="526"/>
      <c r="P101" s="526"/>
      <c r="Q101" s="526"/>
      <c r="R101" s="526"/>
      <c r="S101" s="526"/>
      <c r="T101" s="526"/>
      <c r="U101" s="526"/>
      <c r="V101" s="526"/>
      <c r="W101" s="526"/>
      <c r="X101" s="526"/>
      <c r="Y101" s="526"/>
      <c r="Z101" s="526"/>
      <c r="AA101" s="526"/>
      <c r="AB101" s="526"/>
      <c r="AC101" s="526"/>
      <c r="AD101" s="526"/>
      <c r="AE101" s="526"/>
      <c r="AF101" s="526"/>
      <c r="AG101" s="526"/>
      <c r="AH101" s="526"/>
      <c r="AI101" s="526"/>
      <c r="AJ101" s="526"/>
      <c r="AK101" s="526"/>
      <c r="AL101" s="526"/>
      <c r="AM101" s="526"/>
      <c r="AN101" s="526"/>
      <c r="AO101" s="526"/>
      <c r="AP101" s="526"/>
      <c r="AQ101" s="526"/>
      <c r="AR101" s="526"/>
      <c r="AS101" s="526"/>
      <c r="AT101" s="526"/>
      <c r="AU101" s="526"/>
      <c r="AV101" s="526"/>
      <c r="AW101" s="526"/>
      <c r="AX101" s="526"/>
      <c r="AY101" s="526"/>
      <c r="AZ101" s="526"/>
      <c r="BA101" s="526"/>
      <c r="BB101" s="526"/>
      <c r="BC101" s="526"/>
      <c r="BD101" s="526"/>
      <c r="BE101" s="526"/>
      <c r="BF101" s="526"/>
      <c r="BG101" s="526"/>
      <c r="BH101" s="526"/>
      <c r="BI101" s="526"/>
      <c r="BJ101" s="526"/>
      <c r="BK101" s="526"/>
      <c r="BL101" s="526"/>
      <c r="BM101" s="526"/>
      <c r="BN101" s="526"/>
      <c r="BO101" s="526"/>
      <c r="BP101" s="529"/>
      <c r="BQ101" s="529"/>
      <c r="BR101" s="529"/>
      <c r="BS101" s="529"/>
    </row>
    <row r="102" s="528" customFormat="1" spans="1:71">
      <c r="A102" s="526"/>
      <c r="B102" s="345" t="s">
        <v>145</v>
      </c>
      <c r="C102" s="346"/>
      <c r="D102" s="346"/>
      <c r="E102" s="346"/>
      <c r="F102" s="346"/>
      <c r="G102" s="509"/>
      <c r="H102" s="538"/>
      <c r="I102" s="564"/>
      <c r="J102" s="569">
        <v>228</v>
      </c>
      <c r="K102" s="422">
        <f>вспомогательная!K223</f>
        <v>0</v>
      </c>
      <c r="L102" s="422">
        <f>вспомогательная!L223</f>
        <v>0</v>
      </c>
      <c r="M102" s="422">
        <f>вспомогательная!M223</f>
        <v>0</v>
      </c>
      <c r="N102" s="423"/>
      <c r="O102" s="526"/>
      <c r="P102" s="526"/>
      <c r="Q102" s="526"/>
      <c r="R102" s="526"/>
      <c r="S102" s="526"/>
      <c r="T102" s="526"/>
      <c r="U102" s="526"/>
      <c r="V102" s="526"/>
      <c r="W102" s="526"/>
      <c r="X102" s="526"/>
      <c r="Y102" s="526"/>
      <c r="Z102" s="526"/>
      <c r="AA102" s="526"/>
      <c r="AB102" s="526"/>
      <c r="AC102" s="526"/>
      <c r="AD102" s="526"/>
      <c r="AE102" s="526"/>
      <c r="AF102" s="526"/>
      <c r="AG102" s="526"/>
      <c r="AH102" s="526"/>
      <c r="AI102" s="526"/>
      <c r="AJ102" s="526"/>
      <c r="AK102" s="526"/>
      <c r="AL102" s="526"/>
      <c r="AM102" s="526"/>
      <c r="AN102" s="526"/>
      <c r="AO102" s="526"/>
      <c r="AP102" s="526"/>
      <c r="AQ102" s="526"/>
      <c r="AR102" s="526"/>
      <c r="AS102" s="526"/>
      <c r="AT102" s="526"/>
      <c r="AU102" s="526"/>
      <c r="AV102" s="526"/>
      <c r="AW102" s="526"/>
      <c r="AX102" s="526"/>
      <c r="AY102" s="526"/>
      <c r="AZ102" s="526"/>
      <c r="BA102" s="526"/>
      <c r="BB102" s="526"/>
      <c r="BC102" s="526"/>
      <c r="BD102" s="526"/>
      <c r="BE102" s="526"/>
      <c r="BF102" s="526"/>
      <c r="BG102" s="526"/>
      <c r="BH102" s="526"/>
      <c r="BI102" s="526"/>
      <c r="BJ102" s="526"/>
      <c r="BK102" s="526"/>
      <c r="BL102" s="526"/>
      <c r="BM102" s="526"/>
      <c r="BN102" s="526"/>
      <c r="BO102" s="526"/>
      <c r="BP102" s="529"/>
      <c r="BQ102" s="529"/>
      <c r="BR102" s="529"/>
      <c r="BS102" s="529"/>
    </row>
    <row r="103" s="528" customFormat="1" spans="1:71">
      <c r="A103" s="526"/>
      <c r="B103" s="345" t="s">
        <v>146</v>
      </c>
      <c r="C103" s="346"/>
      <c r="D103" s="346"/>
      <c r="E103" s="346"/>
      <c r="F103" s="346"/>
      <c r="G103" s="509"/>
      <c r="H103" s="538"/>
      <c r="I103" s="564"/>
      <c r="J103" s="569" t="s">
        <v>147</v>
      </c>
      <c r="K103" s="422">
        <f>вспомогательная!K226</f>
        <v>100000</v>
      </c>
      <c r="L103" s="422">
        <f>вспомогательная!L226</f>
        <v>100000</v>
      </c>
      <c r="M103" s="422">
        <f>вспомогательная!M226</f>
        <v>100000</v>
      </c>
      <c r="N103" s="423"/>
      <c r="O103" s="526"/>
      <c r="P103" s="526"/>
      <c r="Q103" s="526"/>
      <c r="R103" s="526"/>
      <c r="S103" s="526"/>
      <c r="T103" s="526"/>
      <c r="U103" s="526"/>
      <c r="V103" s="526"/>
      <c r="W103" s="526"/>
      <c r="X103" s="526"/>
      <c r="Y103" s="526"/>
      <c r="Z103" s="526"/>
      <c r="AA103" s="526"/>
      <c r="AB103" s="526"/>
      <c r="AC103" s="526"/>
      <c r="AD103" s="526"/>
      <c r="AE103" s="526"/>
      <c r="AF103" s="526"/>
      <c r="AG103" s="526"/>
      <c r="AH103" s="526"/>
      <c r="AI103" s="526"/>
      <c r="AJ103" s="526"/>
      <c r="AK103" s="526"/>
      <c r="AL103" s="526"/>
      <c r="AM103" s="526"/>
      <c r="AN103" s="526"/>
      <c r="AO103" s="526"/>
      <c r="AP103" s="526"/>
      <c r="AQ103" s="526"/>
      <c r="AR103" s="526"/>
      <c r="AS103" s="526"/>
      <c r="AT103" s="526"/>
      <c r="AU103" s="526"/>
      <c r="AV103" s="526"/>
      <c r="AW103" s="526"/>
      <c r="AX103" s="526"/>
      <c r="AY103" s="526"/>
      <c r="AZ103" s="526"/>
      <c r="BA103" s="526"/>
      <c r="BB103" s="526"/>
      <c r="BC103" s="526"/>
      <c r="BD103" s="526"/>
      <c r="BE103" s="526"/>
      <c r="BF103" s="526"/>
      <c r="BG103" s="526"/>
      <c r="BH103" s="526"/>
      <c r="BI103" s="526"/>
      <c r="BJ103" s="526"/>
      <c r="BK103" s="526"/>
      <c r="BL103" s="526"/>
      <c r="BM103" s="526"/>
      <c r="BN103" s="526"/>
      <c r="BO103" s="526"/>
      <c r="BP103" s="529"/>
      <c r="BQ103" s="529"/>
      <c r="BR103" s="529"/>
      <c r="BS103" s="529"/>
    </row>
    <row r="104" s="528" customFormat="1" ht="24" customHeight="1" spans="1:71">
      <c r="A104" s="526"/>
      <c r="B104" s="508" t="s">
        <v>148</v>
      </c>
      <c r="C104" s="575"/>
      <c r="D104" s="575"/>
      <c r="E104" s="575"/>
      <c r="F104" s="575"/>
      <c r="G104" s="576"/>
      <c r="H104" s="538"/>
      <c r="I104" s="564"/>
      <c r="J104" s="569">
        <v>341</v>
      </c>
      <c r="K104" s="422">
        <f>вспомогательная!K245</f>
        <v>15000</v>
      </c>
      <c r="L104" s="422">
        <f>вспомогательная!L245</f>
        <v>15000</v>
      </c>
      <c r="M104" s="422">
        <f>вспомогательная!M245</f>
        <v>15000</v>
      </c>
      <c r="N104" s="423"/>
      <c r="O104" s="526"/>
      <c r="P104" s="526"/>
      <c r="Q104" s="526"/>
      <c r="R104" s="526"/>
      <c r="S104" s="526"/>
      <c r="T104" s="526"/>
      <c r="U104" s="526"/>
      <c r="V104" s="526"/>
      <c r="W104" s="526"/>
      <c r="X104" s="526"/>
      <c r="Y104" s="526"/>
      <c r="Z104" s="526"/>
      <c r="AA104" s="526"/>
      <c r="AB104" s="526"/>
      <c r="AC104" s="526"/>
      <c r="AD104" s="526"/>
      <c r="AE104" s="526"/>
      <c r="AF104" s="526"/>
      <c r="AG104" s="526"/>
      <c r="AH104" s="526"/>
      <c r="AI104" s="526"/>
      <c r="AJ104" s="526"/>
      <c r="AK104" s="526"/>
      <c r="AL104" s="526"/>
      <c r="AM104" s="526"/>
      <c r="AN104" s="526"/>
      <c r="AO104" s="526"/>
      <c r="AP104" s="526"/>
      <c r="AQ104" s="526"/>
      <c r="AR104" s="526"/>
      <c r="AS104" s="526"/>
      <c r="AT104" s="526"/>
      <c r="AU104" s="526"/>
      <c r="AV104" s="526"/>
      <c r="AW104" s="526"/>
      <c r="AX104" s="526"/>
      <c r="AY104" s="526"/>
      <c r="AZ104" s="526"/>
      <c r="BA104" s="526"/>
      <c r="BB104" s="526"/>
      <c r="BC104" s="526"/>
      <c r="BD104" s="526"/>
      <c r="BE104" s="526"/>
      <c r="BF104" s="526"/>
      <c r="BG104" s="526"/>
      <c r="BH104" s="526"/>
      <c r="BI104" s="526"/>
      <c r="BJ104" s="526"/>
      <c r="BK104" s="526"/>
      <c r="BL104" s="526"/>
      <c r="BM104" s="526"/>
      <c r="BN104" s="526"/>
      <c r="BO104" s="526"/>
      <c r="BP104" s="529"/>
      <c r="BQ104" s="529"/>
      <c r="BR104" s="529"/>
      <c r="BS104" s="529"/>
    </row>
    <row r="105" s="528" customFormat="1" spans="1:71">
      <c r="A105" s="526"/>
      <c r="B105" s="345" t="s">
        <v>149</v>
      </c>
      <c r="C105" s="346"/>
      <c r="D105" s="346"/>
      <c r="E105" s="346"/>
      <c r="F105" s="346"/>
      <c r="G105" s="509"/>
      <c r="H105" s="538"/>
      <c r="I105" s="564"/>
      <c r="J105" s="569" t="s">
        <v>150</v>
      </c>
      <c r="K105" s="422">
        <f>вспомогательная!K249</f>
        <v>130000</v>
      </c>
      <c r="L105" s="422">
        <f>вспомогательная!L249</f>
        <v>130000</v>
      </c>
      <c r="M105" s="422">
        <f>вспомогательная!M249</f>
        <v>130000</v>
      </c>
      <c r="N105" s="423"/>
      <c r="O105" s="526"/>
      <c r="P105" s="526"/>
      <c r="Q105" s="526"/>
      <c r="R105" s="526"/>
      <c r="S105" s="526"/>
      <c r="T105" s="526"/>
      <c r="U105" s="526"/>
      <c r="V105" s="526"/>
      <c r="W105" s="526"/>
      <c r="X105" s="526"/>
      <c r="Y105" s="526"/>
      <c r="Z105" s="526"/>
      <c r="AA105" s="526"/>
      <c r="AB105" s="526"/>
      <c r="AC105" s="526"/>
      <c r="AD105" s="526"/>
      <c r="AE105" s="526"/>
      <c r="AF105" s="526"/>
      <c r="AG105" s="526"/>
      <c r="AH105" s="526"/>
      <c r="AI105" s="526"/>
      <c r="AJ105" s="526"/>
      <c r="AK105" s="526"/>
      <c r="AL105" s="526"/>
      <c r="AM105" s="526"/>
      <c r="AN105" s="526"/>
      <c r="AO105" s="526"/>
      <c r="AP105" s="526"/>
      <c r="AQ105" s="526"/>
      <c r="AR105" s="526"/>
      <c r="AS105" s="526"/>
      <c r="AT105" s="526"/>
      <c r="AU105" s="526"/>
      <c r="AV105" s="526"/>
      <c r="AW105" s="526"/>
      <c r="AX105" s="526"/>
      <c r="AY105" s="526"/>
      <c r="AZ105" s="526"/>
      <c r="BA105" s="526"/>
      <c r="BB105" s="526"/>
      <c r="BC105" s="526"/>
      <c r="BD105" s="526"/>
      <c r="BE105" s="526"/>
      <c r="BF105" s="526"/>
      <c r="BG105" s="526"/>
      <c r="BH105" s="526"/>
      <c r="BI105" s="526"/>
      <c r="BJ105" s="526"/>
      <c r="BK105" s="526"/>
      <c r="BL105" s="526"/>
      <c r="BM105" s="526"/>
      <c r="BN105" s="526"/>
      <c r="BO105" s="526"/>
      <c r="BP105" s="529"/>
      <c r="BQ105" s="529"/>
      <c r="BR105" s="529"/>
      <c r="BS105" s="529"/>
    </row>
    <row r="106" s="528" customFormat="1" spans="1:71">
      <c r="A106" s="526"/>
      <c r="B106" s="345" t="s">
        <v>151</v>
      </c>
      <c r="C106" s="346"/>
      <c r="D106" s="346"/>
      <c r="E106" s="346"/>
      <c r="F106" s="346"/>
      <c r="G106" s="509"/>
      <c r="H106" s="538"/>
      <c r="I106" s="564"/>
      <c r="J106" s="569">
        <v>345</v>
      </c>
      <c r="K106" s="422">
        <f>вспомогательная!K267</f>
        <v>65000</v>
      </c>
      <c r="L106" s="422">
        <f>вспомогательная!L267</f>
        <v>65000</v>
      </c>
      <c r="M106" s="422">
        <f>вспомогательная!M267</f>
        <v>65000</v>
      </c>
      <c r="N106" s="423"/>
      <c r="O106" s="526"/>
      <c r="P106" s="526"/>
      <c r="Q106" s="526"/>
      <c r="R106" s="526"/>
      <c r="S106" s="526"/>
      <c r="T106" s="526"/>
      <c r="U106" s="526"/>
      <c r="V106" s="526"/>
      <c r="W106" s="526"/>
      <c r="X106" s="526"/>
      <c r="Y106" s="526"/>
      <c r="Z106" s="526"/>
      <c r="AA106" s="526"/>
      <c r="AB106" s="526"/>
      <c r="AC106" s="526"/>
      <c r="AD106" s="526"/>
      <c r="AE106" s="526"/>
      <c r="AF106" s="526"/>
      <c r="AG106" s="526"/>
      <c r="AH106" s="526"/>
      <c r="AI106" s="526"/>
      <c r="AJ106" s="526"/>
      <c r="AK106" s="526"/>
      <c r="AL106" s="526"/>
      <c r="AM106" s="526"/>
      <c r="AN106" s="526"/>
      <c r="AO106" s="526"/>
      <c r="AP106" s="526"/>
      <c r="AQ106" s="526"/>
      <c r="AR106" s="526"/>
      <c r="AS106" s="526"/>
      <c r="AT106" s="526"/>
      <c r="AU106" s="526"/>
      <c r="AV106" s="526"/>
      <c r="AW106" s="526"/>
      <c r="AX106" s="526"/>
      <c r="AY106" s="526"/>
      <c r="AZ106" s="526"/>
      <c r="BA106" s="526"/>
      <c r="BB106" s="526"/>
      <c r="BC106" s="526"/>
      <c r="BD106" s="526"/>
      <c r="BE106" s="526"/>
      <c r="BF106" s="526"/>
      <c r="BG106" s="526"/>
      <c r="BH106" s="526"/>
      <c r="BI106" s="526"/>
      <c r="BJ106" s="526"/>
      <c r="BK106" s="526"/>
      <c r="BL106" s="526"/>
      <c r="BM106" s="526"/>
      <c r="BN106" s="526"/>
      <c r="BO106" s="526"/>
      <c r="BP106" s="529"/>
      <c r="BQ106" s="529"/>
      <c r="BR106" s="529"/>
      <c r="BS106" s="529"/>
    </row>
    <row r="107" s="528" customFormat="1" spans="1:71">
      <c r="A107" s="526"/>
      <c r="B107" s="345" t="s">
        <v>152</v>
      </c>
      <c r="C107" s="346"/>
      <c r="D107" s="346"/>
      <c r="E107" s="346"/>
      <c r="F107" s="346"/>
      <c r="G107" s="509"/>
      <c r="H107" s="538"/>
      <c r="I107" s="564"/>
      <c r="J107" s="569">
        <v>346</v>
      </c>
      <c r="K107" s="422">
        <f>вспомогательная!K285</f>
        <v>451687</v>
      </c>
      <c r="L107" s="422">
        <f>вспомогательная!L285</f>
        <v>403087</v>
      </c>
      <c r="M107" s="422">
        <f>вспомогательная!M285</f>
        <v>403087</v>
      </c>
      <c r="N107" s="423"/>
      <c r="O107" s="526"/>
      <c r="P107" s="526"/>
      <c r="Q107" s="526"/>
      <c r="R107" s="526"/>
      <c r="S107" s="526"/>
      <c r="T107" s="526"/>
      <c r="U107" s="526"/>
      <c r="V107" s="526"/>
      <c r="W107" s="526"/>
      <c r="X107" s="526"/>
      <c r="Y107" s="526"/>
      <c r="Z107" s="526"/>
      <c r="AA107" s="526"/>
      <c r="AB107" s="526"/>
      <c r="AC107" s="526"/>
      <c r="AD107" s="526"/>
      <c r="AE107" s="526"/>
      <c r="AF107" s="526"/>
      <c r="AG107" s="526"/>
      <c r="AH107" s="526"/>
      <c r="AI107" s="526"/>
      <c r="AJ107" s="526"/>
      <c r="AK107" s="526"/>
      <c r="AL107" s="526"/>
      <c r="AM107" s="526"/>
      <c r="AN107" s="526"/>
      <c r="AO107" s="526"/>
      <c r="AP107" s="526"/>
      <c r="AQ107" s="526"/>
      <c r="AR107" s="526"/>
      <c r="AS107" s="526"/>
      <c r="AT107" s="526"/>
      <c r="AU107" s="526"/>
      <c r="AV107" s="526"/>
      <c r="AW107" s="526"/>
      <c r="AX107" s="526"/>
      <c r="AY107" s="526"/>
      <c r="AZ107" s="526"/>
      <c r="BA107" s="526"/>
      <c r="BB107" s="526"/>
      <c r="BC107" s="526"/>
      <c r="BD107" s="526"/>
      <c r="BE107" s="526"/>
      <c r="BF107" s="526"/>
      <c r="BG107" s="526"/>
      <c r="BH107" s="526"/>
      <c r="BI107" s="526"/>
      <c r="BJ107" s="526"/>
      <c r="BK107" s="526"/>
      <c r="BL107" s="526"/>
      <c r="BM107" s="526"/>
      <c r="BN107" s="526"/>
      <c r="BO107" s="526"/>
      <c r="BP107" s="529"/>
      <c r="BQ107" s="529"/>
      <c r="BR107" s="529"/>
      <c r="BS107" s="529"/>
    </row>
    <row r="108" spans="2:14">
      <c r="B108" s="345"/>
      <c r="C108" s="346"/>
      <c r="D108" s="346"/>
      <c r="E108" s="346"/>
      <c r="F108" s="346"/>
      <c r="G108" s="509"/>
      <c r="H108" s="538"/>
      <c r="I108" s="564"/>
      <c r="J108" s="558"/>
      <c r="K108" s="422"/>
      <c r="L108" s="422"/>
      <c r="M108" s="422"/>
      <c r="N108" s="423"/>
    </row>
    <row r="109" s="525" customFormat="1" spans="2:14">
      <c r="B109" s="504" t="s">
        <v>153</v>
      </c>
      <c r="C109" s="505"/>
      <c r="D109" s="505"/>
      <c r="E109" s="505"/>
      <c r="F109" s="505"/>
      <c r="G109" s="506"/>
      <c r="H109" s="577" t="s">
        <v>154</v>
      </c>
      <c r="I109" s="584" t="s">
        <v>155</v>
      </c>
      <c r="J109" s="568"/>
      <c r="K109" s="444">
        <f>K111</f>
        <v>65012</v>
      </c>
      <c r="L109" s="444">
        <f t="shared" ref="L109:M109" si="20">L111</f>
        <v>0</v>
      </c>
      <c r="M109" s="444">
        <f t="shared" si="20"/>
        <v>0</v>
      </c>
      <c r="N109" s="480"/>
    </row>
    <row r="110" ht="24.75" customHeight="1" spans="2:14">
      <c r="B110" s="508" t="s">
        <v>156</v>
      </c>
      <c r="C110" s="346"/>
      <c r="D110" s="346"/>
      <c r="E110" s="346"/>
      <c r="F110" s="346"/>
      <c r="G110" s="509"/>
      <c r="H110" s="538" t="s">
        <v>157</v>
      </c>
      <c r="I110" s="564" t="s">
        <v>158</v>
      </c>
      <c r="J110" s="558"/>
      <c r="K110" s="422"/>
      <c r="L110" s="422"/>
      <c r="M110" s="422"/>
      <c r="N110" s="423"/>
    </row>
    <row r="111" ht="23.25" customHeight="1" spans="2:14">
      <c r="B111" s="508" t="s">
        <v>159</v>
      </c>
      <c r="C111" s="346"/>
      <c r="D111" s="346"/>
      <c r="E111" s="346"/>
      <c r="F111" s="346"/>
      <c r="G111" s="509"/>
      <c r="H111" s="538" t="s">
        <v>160</v>
      </c>
      <c r="I111" s="564" t="s">
        <v>161</v>
      </c>
      <c r="J111" s="569" t="s">
        <v>162</v>
      </c>
      <c r="K111" s="490">
        <f>вспомогательная!K308</f>
        <v>65012</v>
      </c>
      <c r="L111" s="490">
        <f>вспомогательная!L308</f>
        <v>0</v>
      </c>
      <c r="M111" s="490">
        <f>вспомогательная!M308</f>
        <v>0</v>
      </c>
      <c r="N111" s="585"/>
    </row>
    <row r="112" spans="2:14">
      <c r="B112" s="364"/>
      <c r="C112" s="499"/>
      <c r="D112" s="499"/>
      <c r="E112" s="499"/>
      <c r="F112" s="499"/>
      <c r="G112" s="499"/>
      <c r="H112" s="538"/>
      <c r="I112" s="564"/>
      <c r="J112" s="586"/>
      <c r="K112" s="422"/>
      <c r="L112" s="422"/>
      <c r="M112" s="422"/>
      <c r="N112" s="423"/>
    </row>
    <row r="113" spans="2:14">
      <c r="B113" s="364"/>
      <c r="C113" s="499"/>
      <c r="D113" s="499"/>
      <c r="E113" s="499"/>
      <c r="F113" s="499"/>
      <c r="G113" s="499"/>
      <c r="H113" s="538"/>
      <c r="I113" s="564"/>
      <c r="J113" s="558"/>
      <c r="K113" s="422"/>
      <c r="L113" s="422"/>
      <c r="M113" s="422"/>
      <c r="N113" s="423"/>
    </row>
    <row r="114" s="525" customFormat="1" spans="1:67">
      <c r="A114" s="526"/>
      <c r="B114" s="510" t="s">
        <v>163</v>
      </c>
      <c r="C114" s="511"/>
      <c r="D114" s="511"/>
      <c r="E114" s="511"/>
      <c r="F114" s="511"/>
      <c r="G114" s="511"/>
      <c r="H114" s="578" t="s">
        <v>164</v>
      </c>
      <c r="I114" s="587" t="s">
        <v>46</v>
      </c>
      <c r="J114" s="568"/>
      <c r="K114" s="444"/>
      <c r="L114" s="444"/>
      <c r="M114" s="444"/>
      <c r="N114" s="480" t="s">
        <v>46</v>
      </c>
      <c r="O114" s="526"/>
      <c r="P114" s="526"/>
      <c r="Q114" s="526"/>
      <c r="R114" s="526"/>
      <c r="S114" s="526"/>
      <c r="T114" s="526"/>
      <c r="U114" s="526"/>
      <c r="V114" s="526"/>
      <c r="W114" s="526"/>
      <c r="X114" s="526"/>
      <c r="Y114" s="526"/>
      <c r="Z114" s="526"/>
      <c r="AA114" s="526"/>
      <c r="AB114" s="526"/>
      <c r="AC114" s="526"/>
      <c r="AD114" s="526"/>
      <c r="AE114" s="526"/>
      <c r="AF114" s="526"/>
      <c r="AG114" s="526"/>
      <c r="AH114" s="526"/>
      <c r="AI114" s="526"/>
      <c r="AJ114" s="526"/>
      <c r="AK114" s="526"/>
      <c r="AL114" s="526"/>
      <c r="AM114" s="526"/>
      <c r="AN114" s="526"/>
      <c r="AO114" s="526"/>
      <c r="AP114" s="526"/>
      <c r="AQ114" s="526"/>
      <c r="AR114" s="526"/>
      <c r="AS114" s="526"/>
      <c r="AT114" s="526"/>
      <c r="AU114" s="526"/>
      <c r="AV114" s="526"/>
      <c r="AW114" s="526"/>
      <c r="AX114" s="526"/>
      <c r="AY114" s="526"/>
      <c r="AZ114" s="526"/>
      <c r="BA114" s="526"/>
      <c r="BB114" s="526"/>
      <c r="BC114" s="526"/>
      <c r="BD114" s="526"/>
      <c r="BE114" s="526"/>
      <c r="BF114" s="526"/>
      <c r="BG114" s="526"/>
      <c r="BH114" s="526"/>
      <c r="BI114" s="526"/>
      <c r="BJ114" s="526"/>
      <c r="BK114" s="526"/>
      <c r="BL114" s="526"/>
      <c r="BM114" s="526"/>
      <c r="BN114" s="526"/>
      <c r="BO114" s="526"/>
    </row>
    <row r="115" ht="15.75" spans="2:14">
      <c r="B115" s="513" t="s">
        <v>165</v>
      </c>
      <c r="C115" s="514"/>
      <c r="D115" s="514"/>
      <c r="E115" s="514"/>
      <c r="F115" s="514"/>
      <c r="G115" s="514"/>
      <c r="H115" s="579" t="s">
        <v>166</v>
      </c>
      <c r="I115" s="588" t="s">
        <v>167</v>
      </c>
      <c r="J115" s="589"/>
      <c r="K115" s="521"/>
      <c r="L115" s="521"/>
      <c r="M115" s="521"/>
      <c r="N115" s="522" t="s">
        <v>46</v>
      </c>
    </row>
  </sheetData>
  <mergeCells count="138">
    <mergeCell ref="K1:N1"/>
    <mergeCell ref="O1:BO1"/>
    <mergeCell ref="K2:N2"/>
    <mergeCell ref="O2:BO2"/>
    <mergeCell ref="K4:N4"/>
    <mergeCell ref="K5:N5"/>
    <mergeCell ref="K6:N6"/>
    <mergeCell ref="K7:N7"/>
    <mergeCell ref="K8:N8"/>
    <mergeCell ref="K9:N9"/>
    <mergeCell ref="K10:L10"/>
    <mergeCell ref="M10:N10"/>
    <mergeCell ref="K11:N11"/>
    <mergeCell ref="D15:J15"/>
    <mergeCell ref="D16:J16"/>
    <mergeCell ref="D17:J17"/>
    <mergeCell ref="B18:D18"/>
    <mergeCell ref="B19:E19"/>
    <mergeCell ref="F19:I19"/>
    <mergeCell ref="D20:J20"/>
    <mergeCell ref="K24:N24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4:G44"/>
    <mergeCell ref="B45:G45"/>
    <mergeCell ref="B46:G46"/>
    <mergeCell ref="B47:G47"/>
    <mergeCell ref="B48:G48"/>
    <mergeCell ref="B49:G49"/>
    <mergeCell ref="B50:G50"/>
    <mergeCell ref="B51:G51"/>
    <mergeCell ref="B52:G52"/>
    <mergeCell ref="B53:G53"/>
    <mergeCell ref="B54:G54"/>
    <mergeCell ref="B55:G55"/>
    <mergeCell ref="B56:G56"/>
    <mergeCell ref="B57:G57"/>
    <mergeCell ref="B58:G58"/>
    <mergeCell ref="B59:G59"/>
    <mergeCell ref="B62:G62"/>
    <mergeCell ref="B65:G65"/>
    <mergeCell ref="B66:G66"/>
    <mergeCell ref="B67:G67"/>
    <mergeCell ref="B70:G70"/>
    <mergeCell ref="B71:G71"/>
    <mergeCell ref="B76:G76"/>
    <mergeCell ref="B77:G77"/>
    <mergeCell ref="B78:G78"/>
    <mergeCell ref="B79:G79"/>
    <mergeCell ref="B80:G80"/>
    <mergeCell ref="B81:G81"/>
    <mergeCell ref="B82:G82"/>
    <mergeCell ref="B83:G83"/>
    <mergeCell ref="B84:G84"/>
    <mergeCell ref="B85:G85"/>
    <mergeCell ref="B86:G86"/>
    <mergeCell ref="B87:G87"/>
    <mergeCell ref="B88:G88"/>
    <mergeCell ref="B89:G89"/>
    <mergeCell ref="B90:G90"/>
    <mergeCell ref="B91:G91"/>
    <mergeCell ref="B92:G92"/>
    <mergeCell ref="B93:G93"/>
    <mergeCell ref="B94:G94"/>
    <mergeCell ref="B95:G95"/>
    <mergeCell ref="B96:G96"/>
    <mergeCell ref="B97:G97"/>
    <mergeCell ref="B98:G98"/>
    <mergeCell ref="B99:G99"/>
    <mergeCell ref="B101:G101"/>
    <mergeCell ref="B102:G102"/>
    <mergeCell ref="B103:G103"/>
    <mergeCell ref="B104:G104"/>
    <mergeCell ref="B105:G105"/>
    <mergeCell ref="B106:G106"/>
    <mergeCell ref="B107:G107"/>
    <mergeCell ref="B108:G108"/>
    <mergeCell ref="B109:G109"/>
    <mergeCell ref="B110:G110"/>
    <mergeCell ref="B111:G111"/>
    <mergeCell ref="B114:G114"/>
    <mergeCell ref="B115:G115"/>
    <mergeCell ref="H24:H26"/>
    <mergeCell ref="H32:H33"/>
    <mergeCell ref="H38:H39"/>
    <mergeCell ref="H41:H42"/>
    <mergeCell ref="H44:H45"/>
    <mergeCell ref="H48:H49"/>
    <mergeCell ref="I24:I26"/>
    <mergeCell ref="I32:I33"/>
    <mergeCell ref="I38:I39"/>
    <mergeCell ref="I41:I42"/>
    <mergeCell ref="I44:I45"/>
    <mergeCell ref="I48:I49"/>
    <mergeCell ref="J24:J26"/>
    <mergeCell ref="J32:J33"/>
    <mergeCell ref="J38:J39"/>
    <mergeCell ref="J41:J42"/>
    <mergeCell ref="J44:J45"/>
    <mergeCell ref="J48:J49"/>
    <mergeCell ref="K32:K33"/>
    <mergeCell ref="K38:K39"/>
    <mergeCell ref="K41:K42"/>
    <mergeCell ref="K44:K45"/>
    <mergeCell ref="K48:K49"/>
    <mergeCell ref="L32:L33"/>
    <mergeCell ref="L38:L39"/>
    <mergeCell ref="L41:L42"/>
    <mergeCell ref="L44:L45"/>
    <mergeCell ref="L48:L49"/>
    <mergeCell ref="M32:M33"/>
    <mergeCell ref="M38:M39"/>
    <mergeCell ref="M41:M42"/>
    <mergeCell ref="M44:M45"/>
    <mergeCell ref="M48:M49"/>
    <mergeCell ref="N13:N14"/>
    <mergeCell ref="N25:N26"/>
    <mergeCell ref="N32:N33"/>
    <mergeCell ref="N38:N39"/>
    <mergeCell ref="N41:N42"/>
    <mergeCell ref="N44:N45"/>
    <mergeCell ref="N48:N49"/>
    <mergeCell ref="B24:G26"/>
  </mergeCells>
  <pageMargins left="0" right="0" top="0" bottom="0" header="0.31496062992126" footer="0.31496062992126"/>
  <pageSetup paperSize="9" scale="75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640"/>
  <sheetViews>
    <sheetView zoomScaleSheetLayoutView="90" topLeftCell="A73" workbookViewId="0">
      <selection activeCell="B190" sqref="B190:C190"/>
    </sheetView>
  </sheetViews>
  <sheetFormatPr defaultColWidth="9.14285714285714" defaultRowHeight="15"/>
  <cols>
    <col min="1" max="1" width="8.85714285714286" style="7" customWidth="1"/>
    <col min="2" max="2" width="17.7142857142857" style="8" customWidth="1"/>
    <col min="3" max="3" width="14.2857142857143" style="8" customWidth="1"/>
    <col min="4" max="5" width="14" style="8" customWidth="1"/>
    <col min="6" max="6" width="15" style="8" customWidth="1"/>
    <col min="7" max="7" width="14.5714285714286" style="8" customWidth="1"/>
    <col min="8" max="8" width="14.8571428571429" style="8" customWidth="1"/>
    <col min="9" max="9" width="15.2857142857143" style="8" customWidth="1"/>
    <col min="10" max="10" width="14.5714285714286" style="8" customWidth="1"/>
    <col min="11" max="11" width="14.1428571428571" style="8" customWidth="1"/>
    <col min="12" max="12" width="17.7142857142857" style="7" customWidth="1"/>
    <col min="13" max="13" width="10.7142857142857" style="7" customWidth="1"/>
    <col min="14" max="16384" width="9.14285714285714" style="7"/>
  </cols>
  <sheetData>
    <row r="1" hidden="1" spans="9:11">
      <c r="I1" s="6"/>
      <c r="J1" s="40" t="s">
        <v>362</v>
      </c>
      <c r="K1" s="40"/>
    </row>
    <row r="2" hidden="1" spans="9:11">
      <c r="I2" s="41" t="s">
        <v>285</v>
      </c>
      <c r="J2" s="41"/>
      <c r="K2" s="41"/>
    </row>
    <row r="3" ht="15.75" spans="1:11">
      <c r="A3" s="9" t="s">
        <v>363</v>
      </c>
      <c r="B3" s="9"/>
      <c r="C3" s="9"/>
      <c r="D3" s="9"/>
      <c r="E3" s="9"/>
      <c r="F3" s="9"/>
      <c r="G3" s="9"/>
      <c r="H3" s="9"/>
      <c r="I3" s="9"/>
      <c r="J3" s="9"/>
      <c r="K3" s="9"/>
    </row>
    <row r="6" spans="1:11">
      <c r="A6" s="10" t="s">
        <v>364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8" spans="1:3">
      <c r="A8" s="11" t="s">
        <v>365</v>
      </c>
      <c r="B8" s="11"/>
      <c r="C8" s="12">
        <v>1210376210</v>
      </c>
    </row>
    <row r="10" spans="1:4">
      <c r="A10" s="11" t="s">
        <v>366</v>
      </c>
      <c r="B10" s="11"/>
      <c r="C10" s="11"/>
      <c r="D10" s="13" t="s">
        <v>570</v>
      </c>
    </row>
    <row r="11" spans="1:3">
      <c r="A11" s="11"/>
      <c r="B11" s="11"/>
      <c r="C11" s="11"/>
    </row>
    <row r="12" spans="1:4">
      <c r="A12" s="14" t="s">
        <v>368</v>
      </c>
      <c r="B12" s="15"/>
      <c r="C12" s="15"/>
      <c r="D12" s="15"/>
    </row>
    <row r="13" spans="1:4">
      <c r="A13" s="14" t="s">
        <v>369</v>
      </c>
      <c r="B13" s="15"/>
      <c r="C13" s="15"/>
      <c r="D13" s="15"/>
    </row>
    <row r="15" s="1" customFormat="1" ht="12" spans="1:11">
      <c r="A15" s="16"/>
      <c r="B15" s="17" t="s">
        <v>370</v>
      </c>
      <c r="C15" s="17" t="s">
        <v>371</v>
      </c>
      <c r="D15" s="17" t="s">
        <v>372</v>
      </c>
      <c r="E15" s="17"/>
      <c r="F15" s="17"/>
      <c r="G15" s="17"/>
      <c r="H15" s="17" t="s">
        <v>373</v>
      </c>
      <c r="I15" s="17" t="s">
        <v>374</v>
      </c>
      <c r="J15" s="17" t="s">
        <v>375</v>
      </c>
      <c r="K15" s="17" t="s">
        <v>376</v>
      </c>
    </row>
    <row r="16" s="1" customFormat="1" ht="12" spans="1:11">
      <c r="A16" s="16"/>
      <c r="B16" s="17"/>
      <c r="C16" s="17"/>
      <c r="D16" s="16" t="s">
        <v>377</v>
      </c>
      <c r="E16" s="16" t="s">
        <v>54</v>
      </c>
      <c r="F16" s="16"/>
      <c r="G16" s="16"/>
      <c r="H16" s="17"/>
      <c r="I16" s="17"/>
      <c r="J16" s="17"/>
      <c r="K16" s="17"/>
    </row>
    <row r="17" s="2" customFormat="1" ht="36" spans="1:11">
      <c r="A17" s="16"/>
      <c r="B17" s="17"/>
      <c r="C17" s="17"/>
      <c r="D17" s="16"/>
      <c r="E17" s="18" t="s">
        <v>378</v>
      </c>
      <c r="F17" s="18" t="s">
        <v>379</v>
      </c>
      <c r="G17" s="18" t="s">
        <v>380</v>
      </c>
      <c r="H17" s="17"/>
      <c r="I17" s="17"/>
      <c r="J17" s="17"/>
      <c r="K17" s="17"/>
    </row>
    <row r="18" s="3" customFormat="1" spans="1:11">
      <c r="A18" s="19">
        <v>1</v>
      </c>
      <c r="B18" s="19">
        <v>2</v>
      </c>
      <c r="C18" s="19">
        <v>3</v>
      </c>
      <c r="D18" s="19">
        <v>4</v>
      </c>
      <c r="E18" s="19">
        <v>5</v>
      </c>
      <c r="F18" s="19">
        <v>6</v>
      </c>
      <c r="G18" s="19">
        <v>7</v>
      </c>
      <c r="H18" s="19">
        <v>8</v>
      </c>
      <c r="I18" s="19">
        <v>9</v>
      </c>
      <c r="J18" s="19">
        <v>10</v>
      </c>
      <c r="K18" s="19">
        <v>11</v>
      </c>
    </row>
    <row r="19" s="3" customFormat="1" spans="1:11">
      <c r="A19" s="19"/>
      <c r="B19" s="19" t="s">
        <v>381</v>
      </c>
      <c r="C19" s="19"/>
      <c r="D19" s="19"/>
      <c r="E19" s="19"/>
      <c r="F19" s="19"/>
      <c r="G19" s="19"/>
      <c r="H19" s="19"/>
      <c r="I19" s="19"/>
      <c r="J19" s="36"/>
      <c r="K19" s="42"/>
    </row>
    <row r="20" ht="24" spans="1:13">
      <c r="A20" s="20">
        <v>1</v>
      </c>
      <c r="B20" s="18" t="s">
        <v>382</v>
      </c>
      <c r="C20" s="21">
        <v>5</v>
      </c>
      <c r="D20" s="21">
        <f>E20+F20+G20</f>
        <v>43702.73</v>
      </c>
      <c r="E20" s="21">
        <v>40367.98</v>
      </c>
      <c r="F20" s="21"/>
      <c r="G20" s="21">
        <v>3334.75</v>
      </c>
      <c r="H20" s="21"/>
      <c r="I20" s="21">
        <f>ROUND((C20*D20+H20)*1,0)</f>
        <v>218514</v>
      </c>
      <c r="J20" s="21">
        <f>ROUND(218513.65*12*1.03,2)</f>
        <v>2700828.71</v>
      </c>
      <c r="K20" s="21">
        <f>ROUND(J20*1.03,2)</f>
        <v>2781853.57</v>
      </c>
      <c r="L20" s="7">
        <v>2181615</v>
      </c>
      <c r="M20" s="7">
        <f>L20-I20-I21-I22</f>
        <v>0</v>
      </c>
    </row>
    <row r="21" spans="1:11">
      <c r="A21" s="20">
        <v>2</v>
      </c>
      <c r="B21" s="18" t="s">
        <v>383</v>
      </c>
      <c r="C21" s="21">
        <v>59</v>
      </c>
      <c r="D21" s="21">
        <f t="shared" ref="D21:D49" si="0">E21+F21+G21</f>
        <v>23701.42</v>
      </c>
      <c r="E21" s="21">
        <v>18574.68</v>
      </c>
      <c r="F21" s="21">
        <v>54.05</v>
      </c>
      <c r="G21" s="21">
        <v>5072.69</v>
      </c>
      <c r="H21" s="21"/>
      <c r="I21" s="21">
        <f>ROUND((C21*D21+H21)*1,0)</f>
        <v>1398384</v>
      </c>
      <c r="J21" s="21">
        <f>ROUND(I41/3*12*1.03,2)+47784.45</f>
        <v>18189672.97</v>
      </c>
      <c r="K21" s="21">
        <f>ROUND(J21*1.03,2)+200000</f>
        <v>18935363.16</v>
      </c>
    </row>
    <row r="22" spans="1:11">
      <c r="A22" s="20">
        <v>3</v>
      </c>
      <c r="B22" s="18" t="s">
        <v>384</v>
      </c>
      <c r="C22" s="21">
        <v>38.25</v>
      </c>
      <c r="D22" s="21">
        <f t="shared" si="0"/>
        <v>14763.85</v>
      </c>
      <c r="E22" s="21">
        <v>10758.68</v>
      </c>
      <c r="F22" s="21"/>
      <c r="G22" s="21">
        <v>4005.17</v>
      </c>
      <c r="H22" s="21"/>
      <c r="I22" s="21">
        <f>ROUND((C22*D22+H22)*1,0)</f>
        <v>564717</v>
      </c>
      <c r="J22" s="21">
        <f>ROUND(I42/3*12*1.03,2)</f>
        <v>6931018.32</v>
      </c>
      <c r="K22" s="21">
        <f>ROUND(J22*1.03,2)+103219.4</f>
        <v>7242168.27</v>
      </c>
    </row>
    <row r="23" spans="1:11">
      <c r="A23" s="19"/>
      <c r="B23" s="19"/>
      <c r="C23" s="19"/>
      <c r="D23" s="21">
        <f t="shared" si="0"/>
        <v>0</v>
      </c>
      <c r="E23" s="21"/>
      <c r="F23" s="21"/>
      <c r="G23" s="21"/>
      <c r="H23" s="21"/>
      <c r="I23" s="21">
        <f t="shared" ref="I23" si="1">(C23*D23+H23)*7</f>
        <v>0</v>
      </c>
      <c r="J23" s="36"/>
      <c r="K23" s="36"/>
    </row>
    <row r="24" s="3" customFormat="1" spans="1:11">
      <c r="A24" s="19"/>
      <c r="B24" s="19" t="s">
        <v>571</v>
      </c>
      <c r="C24" s="19"/>
      <c r="D24" s="19"/>
      <c r="E24" s="19"/>
      <c r="F24" s="19"/>
      <c r="G24" s="19"/>
      <c r="H24" s="19"/>
      <c r="I24" s="19"/>
      <c r="J24" s="36"/>
      <c r="K24" s="42"/>
    </row>
    <row r="25" ht="24" spans="1:13">
      <c r="A25" s="20">
        <v>1</v>
      </c>
      <c r="B25" s="18" t="s">
        <v>382</v>
      </c>
      <c r="C25" s="21">
        <v>5</v>
      </c>
      <c r="D25" s="21">
        <f>E25+F25+G25</f>
        <v>43702.73</v>
      </c>
      <c r="E25" s="21">
        <v>40367.98</v>
      </c>
      <c r="F25" s="21"/>
      <c r="G25" s="21">
        <v>3334.75</v>
      </c>
      <c r="H25" s="21"/>
      <c r="I25" s="21">
        <f>ROUND((C25*D25+H25)*6,0)</f>
        <v>1311082</v>
      </c>
      <c r="J25" s="21"/>
      <c r="K25" s="21"/>
      <c r="L25" s="7">
        <v>2181615</v>
      </c>
      <c r="M25" s="7">
        <f>L25*6-I25-I26-I27</f>
        <v>2</v>
      </c>
    </row>
    <row r="26" spans="1:11">
      <c r="A26" s="20">
        <v>2</v>
      </c>
      <c r="B26" s="18" t="s">
        <v>383</v>
      </c>
      <c r="C26" s="21">
        <v>59</v>
      </c>
      <c r="D26" s="21">
        <f t="shared" ref="D26:D28" si="2">E26+F26+G26</f>
        <v>24318.97</v>
      </c>
      <c r="E26" s="21">
        <v>18574.68</v>
      </c>
      <c r="F26" s="21">
        <v>54.05</v>
      </c>
      <c r="G26" s="21">
        <v>5690.24</v>
      </c>
      <c r="H26" s="21"/>
      <c r="I26" s="21">
        <f>ROUND((C26*D26+H26)*6,0)</f>
        <v>8608915</v>
      </c>
      <c r="J26" s="21"/>
      <c r="K26" s="21"/>
    </row>
    <row r="27" spans="1:11">
      <c r="A27" s="20">
        <v>3</v>
      </c>
      <c r="B27" s="18" t="s">
        <v>384</v>
      </c>
      <c r="C27" s="21">
        <v>35.25</v>
      </c>
      <c r="D27" s="21">
        <f t="shared" si="2"/>
        <v>14986.72</v>
      </c>
      <c r="E27" s="21">
        <v>10640.68</v>
      </c>
      <c r="F27" s="21"/>
      <c r="G27" s="21">
        <v>4346.04</v>
      </c>
      <c r="H27" s="21"/>
      <c r="I27" s="21">
        <f>ROUND((C27*D27+H27)*6,0)</f>
        <v>3169691</v>
      </c>
      <c r="J27" s="36"/>
      <c r="K27" s="36"/>
    </row>
    <row r="28" spans="1:11">
      <c r="A28" s="19"/>
      <c r="B28" s="19"/>
      <c r="C28" s="19"/>
      <c r="D28" s="21">
        <f t="shared" si="2"/>
        <v>0</v>
      </c>
      <c r="E28" s="21"/>
      <c r="F28" s="21"/>
      <c r="G28" s="21"/>
      <c r="H28" s="21"/>
      <c r="I28" s="21">
        <f t="shared" ref="I28" si="3">(C28*D28+H28)*7</f>
        <v>0</v>
      </c>
      <c r="J28" s="36"/>
      <c r="K28" s="36"/>
    </row>
    <row r="29" s="3" customFormat="1" spans="1:11">
      <c r="A29" s="19"/>
      <c r="B29" s="19" t="s">
        <v>572</v>
      </c>
      <c r="C29" s="19"/>
      <c r="D29" s="19"/>
      <c r="E29" s="19"/>
      <c r="F29" s="19"/>
      <c r="G29" s="19"/>
      <c r="H29" s="19"/>
      <c r="I29" s="19"/>
      <c r="J29" s="19"/>
      <c r="K29" s="19"/>
    </row>
    <row r="30" ht="24" spans="1:13">
      <c r="A30" s="20">
        <v>1</v>
      </c>
      <c r="B30" s="18" t="s">
        <v>382</v>
      </c>
      <c r="C30" s="21">
        <v>5</v>
      </c>
      <c r="D30" s="21">
        <f>E30+F30+G30</f>
        <v>43702.73</v>
      </c>
      <c r="E30" s="21">
        <v>40367.98</v>
      </c>
      <c r="F30" s="21"/>
      <c r="G30" s="21">
        <v>3334.75</v>
      </c>
      <c r="H30" s="21"/>
      <c r="I30" s="21">
        <f>ROUND((C30*D30+H30),0)</f>
        <v>218514</v>
      </c>
      <c r="J30" s="21"/>
      <c r="K30" s="21"/>
      <c r="L30" s="7">
        <v>2497755</v>
      </c>
      <c r="M30" s="7">
        <f>L30-I30-I31-I32</f>
        <v>-34488</v>
      </c>
    </row>
    <row r="31" spans="1:11">
      <c r="A31" s="20">
        <v>2</v>
      </c>
      <c r="B31" s="18" t="s">
        <v>383</v>
      </c>
      <c r="C31" s="21">
        <v>59</v>
      </c>
      <c r="D31" s="21">
        <f t="shared" ref="D31:D32" si="4">E31+F31+G31</f>
        <v>30261.83</v>
      </c>
      <c r="E31" s="21">
        <v>18574.68</v>
      </c>
      <c r="F31" s="21">
        <v>54.05</v>
      </c>
      <c r="G31" s="21">
        <f>5690.24+5358.31+584.55</f>
        <v>11633.1</v>
      </c>
      <c r="H31" s="21"/>
      <c r="I31" s="21">
        <f>ROUND((C31*D31+H31),0)</f>
        <v>1785448</v>
      </c>
      <c r="J31" s="21"/>
      <c r="K31" s="21"/>
    </row>
    <row r="32" spans="1:11">
      <c r="A32" s="20">
        <v>3</v>
      </c>
      <c r="B32" s="18" t="s">
        <v>384</v>
      </c>
      <c r="C32" s="21">
        <f>4.75+30.5</f>
        <v>35.25</v>
      </c>
      <c r="D32" s="21">
        <f t="shared" si="4"/>
        <v>14986.72</v>
      </c>
      <c r="E32" s="21">
        <v>10640.68</v>
      </c>
      <c r="F32" s="21"/>
      <c r="G32" s="21">
        <v>4346.04</v>
      </c>
      <c r="H32" s="21"/>
      <c r="I32" s="21">
        <f>ROUND((C32*D32+H32),0)-1</f>
        <v>528281</v>
      </c>
      <c r="J32" s="36"/>
      <c r="K32" s="42"/>
    </row>
    <row r="33" spans="1:11">
      <c r="A33" s="20"/>
      <c r="B33" s="18"/>
      <c r="C33" s="21"/>
      <c r="D33" s="21"/>
      <c r="E33" s="21"/>
      <c r="F33" s="21"/>
      <c r="G33" s="21"/>
      <c r="H33" s="21"/>
      <c r="I33" s="36"/>
      <c r="J33" s="36"/>
      <c r="K33" s="42"/>
    </row>
    <row r="34" s="3" customFormat="1" spans="1:11">
      <c r="A34" s="19"/>
      <c r="B34" s="19" t="s">
        <v>573</v>
      </c>
      <c r="C34" s="19"/>
      <c r="D34" s="19"/>
      <c r="E34" s="19"/>
      <c r="F34" s="19"/>
      <c r="G34" s="19"/>
      <c r="H34" s="19"/>
      <c r="I34" s="19"/>
      <c r="J34" s="19"/>
      <c r="K34" s="19"/>
    </row>
    <row r="35" ht="24" spans="1:13">
      <c r="A35" s="20">
        <v>1</v>
      </c>
      <c r="B35" s="18" t="s">
        <v>382</v>
      </c>
      <c r="C35" s="21">
        <v>5</v>
      </c>
      <c r="D35" s="21">
        <f>E35+F35+G35</f>
        <v>43702.73</v>
      </c>
      <c r="E35" s="21">
        <v>40367.98</v>
      </c>
      <c r="F35" s="21"/>
      <c r="G35" s="21">
        <v>3334.75</v>
      </c>
      <c r="H35" s="21"/>
      <c r="I35" s="21">
        <f>ROUND((C35*D35+H35),0)</f>
        <v>218514</v>
      </c>
      <c r="J35" s="21"/>
      <c r="K35" s="21"/>
      <c r="L35" s="7">
        <v>2181617</v>
      </c>
      <c r="M35" s="7">
        <f>L35-I35-I36-I37</f>
        <v>2</v>
      </c>
    </row>
    <row r="36" spans="1:11">
      <c r="A36" s="20">
        <v>2</v>
      </c>
      <c r="B36" s="18" t="s">
        <v>383</v>
      </c>
      <c r="C36" s="21">
        <v>59</v>
      </c>
      <c r="D36" s="21">
        <f t="shared" ref="D36:D37" si="5">E36+F36+G36</f>
        <v>24318.97</v>
      </c>
      <c r="E36" s="21">
        <v>18574.68</v>
      </c>
      <c r="F36" s="21">
        <v>54.05</v>
      </c>
      <c r="G36" s="21">
        <f>5690.24</f>
        <v>5690.24</v>
      </c>
      <c r="H36" s="21"/>
      <c r="I36" s="21">
        <f>ROUND((C36*D36+H36),0)</f>
        <v>1434819</v>
      </c>
      <c r="J36" s="21"/>
      <c r="K36" s="21"/>
    </row>
    <row r="37" spans="1:11">
      <c r="A37" s="20">
        <v>3</v>
      </c>
      <c r="B37" s="18" t="s">
        <v>384</v>
      </c>
      <c r="C37" s="21">
        <f>4.75+30.5</f>
        <v>35.25</v>
      </c>
      <c r="D37" s="21">
        <f t="shared" si="5"/>
        <v>14986.72</v>
      </c>
      <c r="E37" s="21">
        <v>10640.68</v>
      </c>
      <c r="F37" s="21"/>
      <c r="G37" s="21">
        <v>4346.04</v>
      </c>
      <c r="H37" s="21"/>
      <c r="I37" s="21">
        <f>ROUND((C37*D37+H37),0)</f>
        <v>528282</v>
      </c>
      <c r="J37" s="36"/>
      <c r="K37" s="42"/>
    </row>
    <row r="38" spans="1:11">
      <c r="A38" s="20"/>
      <c r="B38" s="18"/>
      <c r="C38" s="21"/>
      <c r="D38" s="21"/>
      <c r="E38" s="21"/>
      <c r="F38" s="21"/>
      <c r="G38" s="21"/>
      <c r="H38" s="21"/>
      <c r="I38" s="36"/>
      <c r="J38" s="36"/>
      <c r="K38" s="42"/>
    </row>
    <row r="39" s="3" customFormat="1" spans="1:11">
      <c r="A39" s="19"/>
      <c r="B39" s="19" t="s">
        <v>385</v>
      </c>
      <c r="C39" s="19"/>
      <c r="D39" s="19"/>
      <c r="E39" s="19"/>
      <c r="F39" s="19"/>
      <c r="G39" s="19"/>
      <c r="H39" s="19"/>
      <c r="I39" s="19"/>
      <c r="J39" s="19"/>
      <c r="K39" s="19"/>
    </row>
    <row r="40" ht="24" spans="1:13">
      <c r="A40" s="20">
        <v>1</v>
      </c>
      <c r="B40" s="18" t="s">
        <v>382</v>
      </c>
      <c r="C40" s="21">
        <v>5</v>
      </c>
      <c r="D40" s="21">
        <f>E40+F40+G40</f>
        <v>43702.73</v>
      </c>
      <c r="E40" s="21">
        <v>40367.98</v>
      </c>
      <c r="F40" s="21"/>
      <c r="G40" s="21">
        <v>3334.75</v>
      </c>
      <c r="H40" s="21"/>
      <c r="I40" s="21">
        <f>ROUND((C40*D40+H40)*3,0)</f>
        <v>655541</v>
      </c>
      <c r="J40" s="21"/>
      <c r="K40" s="21"/>
      <c r="L40" s="7">
        <v>2247066</v>
      </c>
      <c r="M40" s="7">
        <f>L40*3-I40-I41-I42</f>
        <v>0</v>
      </c>
    </row>
    <row r="41" spans="1:11">
      <c r="A41" s="20">
        <v>2</v>
      </c>
      <c r="B41" s="18" t="s">
        <v>383</v>
      </c>
      <c r="C41" s="21">
        <v>59</v>
      </c>
      <c r="D41" s="21">
        <f t="shared" ref="D41:D42" si="6">E41+F41+G41</f>
        <v>24877.8</v>
      </c>
      <c r="E41" s="21">
        <f>ROUND(18574.68*1.03,2)</f>
        <v>19131.92</v>
      </c>
      <c r="F41" s="21">
        <f>ROUND(54.02*1.03,2)</f>
        <v>55.64</v>
      </c>
      <c r="G41" s="21">
        <v>5690.24</v>
      </c>
      <c r="H41" s="21"/>
      <c r="I41" s="21">
        <f t="shared" ref="I41" si="7">ROUND((C41*D41+H41)*3,0)</f>
        <v>4403371</v>
      </c>
      <c r="J41" s="21"/>
      <c r="K41" s="21"/>
    </row>
    <row r="42" spans="1:11">
      <c r="A42" s="20">
        <v>3</v>
      </c>
      <c r="B42" s="18" t="s">
        <v>384</v>
      </c>
      <c r="C42" s="21">
        <f>4.75+30.5</f>
        <v>35.25</v>
      </c>
      <c r="D42" s="21">
        <f t="shared" si="6"/>
        <v>15908.16</v>
      </c>
      <c r="E42" s="21">
        <f>ROUND(10640.68*1.03,2)</f>
        <v>10959.9</v>
      </c>
      <c r="F42" s="21"/>
      <c r="G42" s="21">
        <v>4948.26</v>
      </c>
      <c r="H42" s="21"/>
      <c r="I42" s="21">
        <f>ROUND((C42*D42+H42)*3,0)-2</f>
        <v>1682286</v>
      </c>
      <c r="J42" s="36"/>
      <c r="K42" s="42"/>
    </row>
    <row r="43" spans="1:11">
      <c r="A43" s="20"/>
      <c r="B43" s="18"/>
      <c r="C43" s="21"/>
      <c r="D43" s="21"/>
      <c r="E43" s="21"/>
      <c r="F43" s="21"/>
      <c r="G43" s="21"/>
      <c r="H43" s="21"/>
      <c r="I43" s="36"/>
      <c r="J43" s="36"/>
      <c r="K43" s="42"/>
    </row>
    <row r="44" s="3" customFormat="1" hidden="1" spans="1:11">
      <c r="A44" s="30"/>
      <c r="B44" s="31"/>
      <c r="C44" s="31"/>
      <c r="D44" s="31"/>
      <c r="E44" s="31"/>
      <c r="F44" s="31"/>
      <c r="G44" s="31"/>
      <c r="H44" s="32"/>
      <c r="I44" s="19"/>
      <c r="J44" s="19"/>
      <c r="K44" s="19"/>
    </row>
    <row r="45" ht="48" spans="1:11">
      <c r="A45" s="20"/>
      <c r="B45" s="18" t="s">
        <v>386</v>
      </c>
      <c r="C45" s="21"/>
      <c r="D45" s="21">
        <f>E45+F45+G45</f>
        <v>0</v>
      </c>
      <c r="E45" s="21"/>
      <c r="F45" s="21"/>
      <c r="G45" s="21"/>
      <c r="H45" s="21"/>
      <c r="I45" s="21">
        <v>-91611</v>
      </c>
      <c r="J45" s="21"/>
      <c r="K45" s="21"/>
    </row>
    <row r="46" hidden="1" spans="1:11">
      <c r="A46" s="20"/>
      <c r="B46" s="18"/>
      <c r="C46" s="21"/>
      <c r="D46" s="21">
        <f t="shared" ref="D46:D47" si="8">E46+F46+G46</f>
        <v>0</v>
      </c>
      <c r="E46" s="21"/>
      <c r="F46" s="21"/>
      <c r="G46" s="21"/>
      <c r="H46" s="21"/>
      <c r="I46" s="21">
        <f t="shared" ref="I46" si="9">C46*D46+H46</f>
        <v>0</v>
      </c>
      <c r="J46" s="21"/>
      <c r="K46" s="21"/>
    </row>
    <row r="47" hidden="1" spans="1:11">
      <c r="A47" s="20"/>
      <c r="B47" s="18"/>
      <c r="C47" s="21"/>
      <c r="D47" s="21">
        <f t="shared" si="8"/>
        <v>0</v>
      </c>
      <c r="E47" s="21"/>
      <c r="F47" s="21"/>
      <c r="G47" s="21"/>
      <c r="H47" s="21"/>
      <c r="I47" s="36">
        <f>ROUND((C47*D47+H47)*1,0)</f>
        <v>0</v>
      </c>
      <c r="J47" s="36"/>
      <c r="K47" s="42"/>
    </row>
    <row r="48" hidden="1" spans="1:11">
      <c r="A48" s="20"/>
      <c r="B48" s="22"/>
      <c r="C48" s="21"/>
      <c r="D48" s="21">
        <f t="shared" si="0"/>
        <v>0</v>
      </c>
      <c r="E48" s="21"/>
      <c r="F48" s="21"/>
      <c r="G48" s="21"/>
      <c r="H48" s="21"/>
      <c r="I48" s="36">
        <f t="shared" ref="I48:I49" si="10">C48*D48+H48</f>
        <v>0</v>
      </c>
      <c r="J48" s="36"/>
      <c r="K48" s="36"/>
    </row>
    <row r="49" hidden="1" spans="1:11">
      <c r="A49" s="20"/>
      <c r="B49" s="22"/>
      <c r="C49" s="21"/>
      <c r="D49" s="21">
        <f t="shared" si="0"/>
        <v>0</v>
      </c>
      <c r="E49" s="21"/>
      <c r="F49" s="21"/>
      <c r="G49" s="21"/>
      <c r="H49" s="21"/>
      <c r="I49" s="36">
        <f t="shared" si="10"/>
        <v>0</v>
      </c>
      <c r="J49" s="36"/>
      <c r="K49" s="36"/>
    </row>
    <row r="50" s="4" customFormat="1" ht="14.25" spans="1:11">
      <c r="A50" s="23" t="s">
        <v>387</v>
      </c>
      <c r="B50" s="24"/>
      <c r="C50" s="24"/>
      <c r="D50" s="24"/>
      <c r="E50" s="24"/>
      <c r="F50" s="24"/>
      <c r="G50" s="24"/>
      <c r="H50" s="24"/>
      <c r="I50" s="39">
        <f>SUM(I20:I43)+I45</f>
        <v>26634748</v>
      </c>
      <c r="J50" s="39">
        <f>SUM(J19:J49)</f>
        <v>27821520</v>
      </c>
      <c r="K50" s="39">
        <f>SUM(K19:K49)</f>
        <v>28959385</v>
      </c>
    </row>
    <row r="52" s="5" customFormat="1" ht="14.25" hidden="1" spans="1:11">
      <c r="A52" s="5" t="s">
        <v>388</v>
      </c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hidden="1"/>
    <row r="54" s="1" customFormat="1" ht="48" hidden="1" spans="1:11">
      <c r="A54" s="25" t="s">
        <v>389</v>
      </c>
      <c r="B54" s="18" t="s">
        <v>390</v>
      </c>
      <c r="C54" s="18" t="s">
        <v>391</v>
      </c>
      <c r="D54" s="18" t="s">
        <v>392</v>
      </c>
      <c r="E54" s="18" t="s">
        <v>393</v>
      </c>
      <c r="F54" s="18" t="s">
        <v>394</v>
      </c>
      <c r="G54" s="18" t="s">
        <v>394</v>
      </c>
      <c r="H54" s="18" t="s">
        <v>394</v>
      </c>
      <c r="I54" s="43"/>
      <c r="J54" s="43"/>
      <c r="K54" s="43"/>
    </row>
    <row r="55" s="3" customFormat="1" hidden="1" spans="1:8">
      <c r="A55" s="19">
        <v>1</v>
      </c>
      <c r="B55" s="19">
        <v>2</v>
      </c>
      <c r="C55" s="19">
        <v>3</v>
      </c>
      <c r="D55" s="19">
        <v>4</v>
      </c>
      <c r="E55" s="19">
        <v>5</v>
      </c>
      <c r="F55" s="19">
        <v>6</v>
      </c>
      <c r="G55" s="19">
        <v>7</v>
      </c>
      <c r="H55" s="19">
        <v>8</v>
      </c>
    </row>
    <row r="56" hidden="1" spans="1:8">
      <c r="A56" s="20"/>
      <c r="B56" s="21"/>
      <c r="C56" s="21"/>
      <c r="D56" s="21"/>
      <c r="E56" s="21"/>
      <c r="F56" s="21"/>
      <c r="G56" s="21"/>
      <c r="H56" s="21"/>
    </row>
    <row r="57" hidden="1" spans="1:8">
      <c r="A57" s="20"/>
      <c r="B57" s="21"/>
      <c r="C57" s="21"/>
      <c r="D57" s="21"/>
      <c r="E57" s="21"/>
      <c r="F57" s="21"/>
      <c r="G57" s="21"/>
      <c r="H57" s="21"/>
    </row>
    <row r="58" hidden="1" spans="1:8">
      <c r="A58" s="20"/>
      <c r="B58" s="21"/>
      <c r="C58" s="21"/>
      <c r="D58" s="21"/>
      <c r="E58" s="21"/>
      <c r="F58" s="21"/>
      <c r="G58" s="21"/>
      <c r="H58" s="21"/>
    </row>
    <row r="59" hidden="1" spans="1:8">
      <c r="A59" s="20"/>
      <c r="B59" s="21"/>
      <c r="C59" s="21"/>
      <c r="D59" s="21"/>
      <c r="E59" s="21"/>
      <c r="F59" s="21"/>
      <c r="G59" s="21"/>
      <c r="H59" s="21"/>
    </row>
    <row r="60" hidden="1" spans="1:8">
      <c r="A60" s="20"/>
      <c r="B60" s="21"/>
      <c r="C60" s="21"/>
      <c r="D60" s="21"/>
      <c r="E60" s="21"/>
      <c r="F60" s="21"/>
      <c r="G60" s="21"/>
      <c r="H60" s="21"/>
    </row>
    <row r="61" hidden="1" spans="1:8">
      <c r="A61" s="20"/>
      <c r="B61" s="21"/>
      <c r="C61" s="21"/>
      <c r="D61" s="21"/>
      <c r="E61" s="21"/>
      <c r="F61" s="21"/>
      <c r="G61" s="21"/>
      <c r="H61" s="21"/>
    </row>
    <row r="62" hidden="1" spans="1:8">
      <c r="A62" s="20"/>
      <c r="B62" s="21"/>
      <c r="C62" s="21"/>
      <c r="D62" s="21"/>
      <c r="E62" s="21"/>
      <c r="F62" s="21"/>
      <c r="G62" s="21"/>
      <c r="H62" s="21"/>
    </row>
    <row r="63" hidden="1"/>
    <row r="64" spans="1:8">
      <c r="A64" s="26" t="s">
        <v>395</v>
      </c>
      <c r="B64" s="26"/>
      <c r="C64" s="26"/>
      <c r="D64" s="26"/>
      <c r="E64" s="26"/>
      <c r="F64" s="26"/>
      <c r="G64" s="26"/>
      <c r="H64" s="26"/>
    </row>
    <row r="66" ht="48" spans="1:8">
      <c r="A66" s="25" t="s">
        <v>389</v>
      </c>
      <c r="B66" s="27" t="s">
        <v>396</v>
      </c>
      <c r="C66" s="28"/>
      <c r="D66" s="29"/>
      <c r="E66" s="18" t="s">
        <v>397</v>
      </c>
      <c r="F66" s="18" t="s">
        <v>398</v>
      </c>
      <c r="G66" s="18" t="s">
        <v>399</v>
      </c>
      <c r="H66" s="18" t="s">
        <v>400</v>
      </c>
    </row>
    <row r="67" spans="1:8">
      <c r="A67" s="19">
        <v>1</v>
      </c>
      <c r="B67" s="30">
        <v>2</v>
      </c>
      <c r="C67" s="31"/>
      <c r="D67" s="32"/>
      <c r="E67" s="19">
        <v>3</v>
      </c>
      <c r="F67" s="19">
        <v>4</v>
      </c>
      <c r="G67" s="19">
        <v>5</v>
      </c>
      <c r="H67" s="19">
        <v>6</v>
      </c>
    </row>
    <row r="68" ht="26.25" customHeight="1" spans="1:8">
      <c r="A68" s="20">
        <v>1</v>
      </c>
      <c r="B68" s="33" t="s">
        <v>401</v>
      </c>
      <c r="C68" s="34"/>
      <c r="D68" s="35"/>
      <c r="E68" s="36"/>
      <c r="F68" s="36">
        <f>F70</f>
        <v>3000068</v>
      </c>
      <c r="G68" s="36">
        <f t="shared" ref="G68:H68" si="11">G70</f>
        <v>6120734</v>
      </c>
      <c r="H68" s="36">
        <f t="shared" si="11"/>
        <v>6371065</v>
      </c>
    </row>
    <row r="69" spans="1:8">
      <c r="A69" s="20"/>
      <c r="B69" s="33" t="s">
        <v>54</v>
      </c>
      <c r="C69" s="34"/>
      <c r="D69" s="35"/>
      <c r="E69" s="36"/>
      <c r="F69" s="36"/>
      <c r="G69" s="36"/>
      <c r="H69" s="36"/>
    </row>
    <row r="70" spans="1:8">
      <c r="A70" s="37"/>
      <c r="B70" s="33" t="s">
        <v>402</v>
      </c>
      <c r="C70" s="34"/>
      <c r="D70" s="35"/>
      <c r="E70" s="36">
        <f>I20+I21+I22+I30+I31+I32+I35+I36+I37+I40+I41+I42</f>
        <v>13636671</v>
      </c>
      <c r="F70" s="36">
        <f>ROUND(E70*0.22,0)</f>
        <v>3000068</v>
      </c>
      <c r="G70" s="36">
        <f>ROUND(J50*0.22,0)</f>
        <v>6120734</v>
      </c>
      <c r="H70" s="36">
        <f>ROUND(K50*0.22,0)</f>
        <v>6371065</v>
      </c>
    </row>
    <row r="71" ht="22.5" customHeight="1" spans="1:8">
      <c r="A71" s="20">
        <v>2</v>
      </c>
      <c r="B71" s="33" t="s">
        <v>403</v>
      </c>
      <c r="C71" s="34"/>
      <c r="D71" s="35"/>
      <c r="E71" s="36"/>
      <c r="F71" s="36">
        <f>F72+F73</f>
        <v>422736</v>
      </c>
      <c r="G71" s="36">
        <f t="shared" ref="G71:H71" si="12">G72+G73</f>
        <v>862467</v>
      </c>
      <c r="H71" s="36">
        <f t="shared" si="12"/>
        <v>897741</v>
      </c>
    </row>
    <row r="72" ht="24.75" customHeight="1" spans="1:8">
      <c r="A72" s="20"/>
      <c r="B72" s="33" t="s">
        <v>404</v>
      </c>
      <c r="C72" s="34"/>
      <c r="D72" s="35"/>
      <c r="E72" s="36">
        <f>E70</f>
        <v>13636671</v>
      </c>
      <c r="F72" s="36">
        <f>ROUND(E72*0.029,0)</f>
        <v>395463</v>
      </c>
      <c r="G72" s="36">
        <f>ROUND(J50*0.029,0)</f>
        <v>806824</v>
      </c>
      <c r="H72" s="36">
        <f>ROUND(K50*0.029,0)</f>
        <v>839822</v>
      </c>
    </row>
    <row r="73" ht="36" customHeight="1" spans="1:8">
      <c r="A73" s="20"/>
      <c r="B73" s="33" t="s">
        <v>405</v>
      </c>
      <c r="C73" s="34"/>
      <c r="D73" s="35"/>
      <c r="E73" s="36">
        <f>E72</f>
        <v>13636671</v>
      </c>
      <c r="F73" s="36">
        <f>ROUND(E73*0.002,0)</f>
        <v>27273</v>
      </c>
      <c r="G73" s="36">
        <f>ROUND(J50*0.002,0)</f>
        <v>55643</v>
      </c>
      <c r="H73" s="36">
        <f>ROUND(K50*0.002,0)</f>
        <v>57919</v>
      </c>
    </row>
    <row r="74" ht="28.5" customHeight="1" spans="1:8">
      <c r="A74" s="20">
        <v>3</v>
      </c>
      <c r="B74" s="33" t="s">
        <v>406</v>
      </c>
      <c r="C74" s="34"/>
      <c r="D74" s="35"/>
      <c r="E74" s="36">
        <f>E73</f>
        <v>13636671</v>
      </c>
      <c r="F74" s="36">
        <f>ROUND(E74*0.051,0)-1</f>
        <v>695469</v>
      </c>
      <c r="G74" s="36">
        <f>ROUND(J50*0.051,0)</f>
        <v>1418898</v>
      </c>
      <c r="H74" s="36">
        <f>ROUND(K50*0.051,0)-1</f>
        <v>1476928</v>
      </c>
    </row>
    <row r="75" s="4" customFormat="1" ht="14.25" spans="1:11">
      <c r="A75" s="23"/>
      <c r="B75" s="38" t="s">
        <v>387</v>
      </c>
      <c r="C75" s="38"/>
      <c r="D75" s="38"/>
      <c r="E75" s="39"/>
      <c r="F75" s="39">
        <f>F68+F71+F74</f>
        <v>4118273</v>
      </c>
      <c r="G75" s="39">
        <f>G68+G71+G74</f>
        <v>8402099</v>
      </c>
      <c r="H75" s="39">
        <f t="shared" ref="H75" si="13">H68+H71+H74</f>
        <v>8745734</v>
      </c>
      <c r="I75" s="44"/>
      <c r="J75" s="44"/>
      <c r="K75" s="44"/>
    </row>
    <row r="77" s="5" customFormat="1" ht="14.25" spans="1:11">
      <c r="A77" s="5" t="s">
        <v>407</v>
      </c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9" ht="24" spans="1:8">
      <c r="A79" s="25" t="s">
        <v>389</v>
      </c>
      <c r="B79" s="27" t="s">
        <v>24</v>
      </c>
      <c r="C79" s="29"/>
      <c r="D79" s="18" t="s">
        <v>408</v>
      </c>
      <c r="E79" s="18" t="s">
        <v>409</v>
      </c>
      <c r="F79" s="18" t="s">
        <v>410</v>
      </c>
      <c r="G79" s="18" t="s">
        <v>411</v>
      </c>
      <c r="H79" s="18" t="s">
        <v>412</v>
      </c>
    </row>
    <row r="80" spans="1:8">
      <c r="A80" s="19">
        <v>1</v>
      </c>
      <c r="B80" s="30">
        <v>2</v>
      </c>
      <c r="C80" s="32"/>
      <c r="D80" s="19">
        <v>3</v>
      </c>
      <c r="E80" s="19">
        <v>4</v>
      </c>
      <c r="F80" s="19">
        <v>5</v>
      </c>
      <c r="G80" s="19">
        <v>6</v>
      </c>
      <c r="H80" s="19">
        <v>7</v>
      </c>
    </row>
    <row r="81" hidden="1" spans="1:8">
      <c r="A81" s="20">
        <v>1</v>
      </c>
      <c r="B81" s="30" t="s">
        <v>413</v>
      </c>
      <c r="C81" s="32"/>
      <c r="D81" s="21"/>
      <c r="E81" s="21"/>
      <c r="F81" s="36">
        <f>D81*E81</f>
        <v>0</v>
      </c>
      <c r="G81" s="36"/>
      <c r="H81" s="36"/>
    </row>
    <row r="82" hidden="1" spans="1:8">
      <c r="A82" s="20">
        <v>2</v>
      </c>
      <c r="B82" s="30" t="s">
        <v>414</v>
      </c>
      <c r="C82" s="32"/>
      <c r="D82" s="21"/>
      <c r="E82" s="21"/>
      <c r="F82" s="36">
        <f t="shared" ref="F82:F86" si="14">D82*E82</f>
        <v>0</v>
      </c>
      <c r="G82" s="36"/>
      <c r="H82" s="36"/>
    </row>
    <row r="83" ht="26.25" customHeight="1" spans="1:8">
      <c r="A83" s="20">
        <v>1</v>
      </c>
      <c r="B83" s="78" t="s">
        <v>386</v>
      </c>
      <c r="C83" s="79"/>
      <c r="D83" s="21">
        <v>3664.44</v>
      </c>
      <c r="E83" s="21">
        <v>25</v>
      </c>
      <c r="F83" s="36">
        <f t="shared" si="14"/>
        <v>91611</v>
      </c>
      <c r="G83" s="36">
        <v>0</v>
      </c>
      <c r="H83" s="36">
        <v>0</v>
      </c>
    </row>
    <row r="84" spans="1:8">
      <c r="A84" s="20">
        <v>2</v>
      </c>
      <c r="B84" s="30" t="s">
        <v>574</v>
      </c>
      <c r="C84" s="32"/>
      <c r="D84" s="21">
        <v>33589</v>
      </c>
      <c r="E84" s="21">
        <v>1</v>
      </c>
      <c r="F84" s="36">
        <f t="shared" si="14"/>
        <v>33589</v>
      </c>
      <c r="G84" s="36">
        <v>0</v>
      </c>
      <c r="H84" s="36">
        <v>0</v>
      </c>
    </row>
    <row r="85" spans="1:8">
      <c r="A85" s="20">
        <v>3</v>
      </c>
      <c r="B85" s="30" t="s">
        <v>575</v>
      </c>
      <c r="C85" s="32"/>
      <c r="D85" s="21">
        <v>32506</v>
      </c>
      <c r="E85" s="21">
        <v>2</v>
      </c>
      <c r="F85" s="36">
        <f t="shared" si="14"/>
        <v>65012</v>
      </c>
      <c r="G85" s="36"/>
      <c r="H85" s="36"/>
    </row>
    <row r="86" spans="1:8">
      <c r="A86" s="20"/>
      <c r="B86" s="30"/>
      <c r="C86" s="32"/>
      <c r="D86" s="21"/>
      <c r="E86" s="21"/>
      <c r="F86" s="36">
        <f t="shared" si="14"/>
        <v>0</v>
      </c>
      <c r="G86" s="36"/>
      <c r="H86" s="36"/>
    </row>
    <row r="87" s="4" customFormat="1" ht="14.25" spans="1:11">
      <c r="A87" s="23"/>
      <c r="B87" s="45" t="s">
        <v>387</v>
      </c>
      <c r="C87" s="46"/>
      <c r="D87" s="24"/>
      <c r="E87" s="24"/>
      <c r="F87" s="39">
        <f>SUM(F81:F86)</f>
        <v>190212</v>
      </c>
      <c r="G87" s="39">
        <f t="shared" ref="G87:H87" si="15">SUM(G81:G86)</f>
        <v>0</v>
      </c>
      <c r="H87" s="39">
        <f t="shared" si="15"/>
        <v>0</v>
      </c>
      <c r="I87" s="44"/>
      <c r="J87" s="44"/>
      <c r="K87" s="44"/>
    </row>
    <row r="89" s="5" customFormat="1" ht="14.25" hidden="1" spans="1:11">
      <c r="A89" s="5" t="s">
        <v>415</v>
      </c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hidden="1"/>
    <row r="91" ht="72" hidden="1" spans="1:8">
      <c r="A91" s="25" t="s">
        <v>389</v>
      </c>
      <c r="B91" s="27" t="s">
        <v>416</v>
      </c>
      <c r="C91" s="29"/>
      <c r="D91" s="18" t="s">
        <v>417</v>
      </c>
      <c r="E91" s="18" t="s">
        <v>418</v>
      </c>
      <c r="F91" s="18" t="s">
        <v>419</v>
      </c>
      <c r="G91" s="18" t="s">
        <v>420</v>
      </c>
      <c r="H91" s="18" t="s">
        <v>421</v>
      </c>
    </row>
    <row r="92" hidden="1" spans="1:8">
      <c r="A92" s="19">
        <v>1</v>
      </c>
      <c r="B92" s="30">
        <v>2</v>
      </c>
      <c r="C92" s="32"/>
      <c r="D92" s="19">
        <v>3</v>
      </c>
      <c r="E92" s="19">
        <v>4</v>
      </c>
      <c r="F92" s="19">
        <v>5</v>
      </c>
      <c r="G92" s="19">
        <v>6</v>
      </c>
      <c r="H92" s="19">
        <v>7</v>
      </c>
    </row>
    <row r="93" hidden="1" spans="1:8">
      <c r="A93" s="20">
        <v>1</v>
      </c>
      <c r="B93" s="47" t="s">
        <v>422</v>
      </c>
      <c r="C93" s="48"/>
      <c r="D93" s="21"/>
      <c r="E93" s="49">
        <v>0.015</v>
      </c>
      <c r="F93" s="36">
        <f>ROUND(D93*E93,0)</f>
        <v>0</v>
      </c>
      <c r="G93" s="36">
        <f>F93</f>
        <v>0</v>
      </c>
      <c r="H93" s="36">
        <f>G93</f>
        <v>0</v>
      </c>
    </row>
    <row r="94" hidden="1" spans="1:8">
      <c r="A94" s="20">
        <v>2</v>
      </c>
      <c r="B94" s="47" t="s">
        <v>422</v>
      </c>
      <c r="C94" s="48"/>
      <c r="D94" s="21"/>
      <c r="E94" s="49">
        <v>0.015</v>
      </c>
      <c r="F94" s="36">
        <f t="shared" ref="F94:F97" si="16">ROUND(D94*E94,0)</f>
        <v>0</v>
      </c>
      <c r="G94" s="36">
        <f t="shared" ref="G94:H96" si="17">F94</f>
        <v>0</v>
      </c>
      <c r="H94" s="36">
        <f t="shared" si="17"/>
        <v>0</v>
      </c>
    </row>
    <row r="95" hidden="1" spans="1:8">
      <c r="A95" s="20">
        <v>3</v>
      </c>
      <c r="B95" s="47" t="s">
        <v>422</v>
      </c>
      <c r="C95" s="48"/>
      <c r="D95" s="21"/>
      <c r="E95" s="49">
        <v>0.015</v>
      </c>
      <c r="F95" s="36">
        <f t="shared" si="16"/>
        <v>0</v>
      </c>
      <c r="G95" s="36">
        <f t="shared" si="17"/>
        <v>0</v>
      </c>
      <c r="H95" s="36">
        <f t="shared" si="17"/>
        <v>0</v>
      </c>
    </row>
    <row r="96" hidden="1" spans="1:8">
      <c r="A96" s="20">
        <v>4</v>
      </c>
      <c r="B96" s="47" t="s">
        <v>422</v>
      </c>
      <c r="C96" s="48"/>
      <c r="D96" s="21"/>
      <c r="E96" s="49">
        <v>0.015</v>
      </c>
      <c r="F96" s="36">
        <f t="shared" si="16"/>
        <v>0</v>
      </c>
      <c r="G96" s="36">
        <f t="shared" si="17"/>
        <v>0</v>
      </c>
      <c r="H96" s="36">
        <f t="shared" si="17"/>
        <v>0</v>
      </c>
    </row>
    <row r="97" hidden="1" spans="1:8">
      <c r="A97" s="20">
        <v>5</v>
      </c>
      <c r="B97" s="47" t="s">
        <v>423</v>
      </c>
      <c r="C97" s="48"/>
      <c r="D97" s="21"/>
      <c r="E97" s="49">
        <v>0.022</v>
      </c>
      <c r="F97" s="36">
        <f t="shared" si="16"/>
        <v>0</v>
      </c>
      <c r="G97" s="36">
        <f>F97</f>
        <v>0</v>
      </c>
      <c r="H97" s="36">
        <f>G97</f>
        <v>0</v>
      </c>
    </row>
    <row r="98" hidden="1" spans="1:8">
      <c r="A98" s="20"/>
      <c r="B98" s="30"/>
      <c r="C98" s="32"/>
      <c r="D98" s="21"/>
      <c r="E98" s="21"/>
      <c r="F98" s="36"/>
      <c r="G98" s="36"/>
      <c r="H98" s="36"/>
    </row>
    <row r="99" s="4" customFormat="1" ht="14.25" hidden="1" spans="1:11">
      <c r="A99" s="23"/>
      <c r="B99" s="45" t="s">
        <v>387</v>
      </c>
      <c r="C99" s="46"/>
      <c r="D99" s="24"/>
      <c r="E99" s="24"/>
      <c r="F99" s="39">
        <f>SUM(F93:F98)</f>
        <v>0</v>
      </c>
      <c r="G99" s="39">
        <f>SUM(G93:G98)</f>
        <v>0</v>
      </c>
      <c r="H99" s="39">
        <f>SUM(H93:H98)</f>
        <v>0</v>
      </c>
      <c r="I99" s="44"/>
      <c r="J99" s="44"/>
      <c r="K99" s="44"/>
    </row>
    <row r="100" hidden="1"/>
    <row r="101" hidden="1" spans="1:8">
      <c r="A101" s="50" t="s">
        <v>424</v>
      </c>
      <c r="B101" s="50"/>
      <c r="C101" s="50"/>
      <c r="D101" s="50"/>
      <c r="E101" s="50"/>
      <c r="F101" s="50"/>
      <c r="G101" s="50"/>
      <c r="H101" s="50"/>
    </row>
    <row r="102" hidden="1"/>
    <row r="103" ht="36" hidden="1" spans="1:8">
      <c r="A103" s="25" t="s">
        <v>389</v>
      </c>
      <c r="B103" s="27" t="s">
        <v>24</v>
      </c>
      <c r="C103" s="29"/>
      <c r="D103" s="18" t="s">
        <v>425</v>
      </c>
      <c r="E103" s="18" t="s">
        <v>409</v>
      </c>
      <c r="F103" s="18" t="s">
        <v>426</v>
      </c>
      <c r="G103" s="18" t="s">
        <v>426</v>
      </c>
      <c r="H103" s="18" t="s">
        <v>426</v>
      </c>
    </row>
    <row r="104" hidden="1" spans="1:8">
      <c r="A104" s="19">
        <v>1</v>
      </c>
      <c r="B104" s="30">
        <v>2</v>
      </c>
      <c r="C104" s="32"/>
      <c r="D104" s="19">
        <v>3</v>
      </c>
      <c r="E104" s="19">
        <v>4</v>
      </c>
      <c r="F104" s="19">
        <v>5</v>
      </c>
      <c r="G104" s="19">
        <v>6</v>
      </c>
      <c r="H104" s="19">
        <v>7</v>
      </c>
    </row>
    <row r="105" hidden="1" spans="1:8">
      <c r="A105" s="20"/>
      <c r="B105" s="30"/>
      <c r="C105" s="32"/>
      <c r="D105" s="21"/>
      <c r="E105" s="21"/>
      <c r="F105" s="21"/>
      <c r="G105" s="21"/>
      <c r="H105" s="21"/>
    </row>
    <row r="106" hidden="1" spans="1:8">
      <c r="A106" s="20"/>
      <c r="B106" s="30"/>
      <c r="C106" s="32"/>
      <c r="D106" s="21"/>
      <c r="E106" s="21"/>
      <c r="F106" s="21"/>
      <c r="G106" s="21"/>
      <c r="H106" s="21"/>
    </row>
    <row r="107" hidden="1" spans="1:8">
      <c r="A107" s="20"/>
      <c r="B107" s="30"/>
      <c r="C107" s="32"/>
      <c r="D107" s="21"/>
      <c r="E107" s="21"/>
      <c r="F107" s="21"/>
      <c r="G107" s="21"/>
      <c r="H107" s="21"/>
    </row>
    <row r="108" hidden="1" spans="1:8">
      <c r="A108" s="20"/>
      <c r="B108" s="30"/>
      <c r="C108" s="32"/>
      <c r="D108" s="21"/>
      <c r="E108" s="21"/>
      <c r="F108" s="21"/>
      <c r="G108" s="21"/>
      <c r="H108" s="21"/>
    </row>
    <row r="109" hidden="1" spans="1:8">
      <c r="A109" s="20"/>
      <c r="B109" s="30"/>
      <c r="C109" s="32"/>
      <c r="D109" s="21"/>
      <c r="E109" s="21"/>
      <c r="F109" s="21"/>
      <c r="G109" s="21"/>
      <c r="H109" s="21"/>
    </row>
    <row r="110" hidden="1" spans="1:8">
      <c r="A110" s="20"/>
      <c r="B110" s="30"/>
      <c r="C110" s="32"/>
      <c r="D110" s="21"/>
      <c r="E110" s="21"/>
      <c r="F110" s="21"/>
      <c r="G110" s="21"/>
      <c r="H110" s="21"/>
    </row>
    <row r="111" hidden="1" spans="1:8">
      <c r="A111" s="20"/>
      <c r="B111" s="30" t="s">
        <v>387</v>
      </c>
      <c r="C111" s="32"/>
      <c r="D111" s="21"/>
      <c r="E111" s="21"/>
      <c r="F111" s="21"/>
      <c r="G111" s="21"/>
      <c r="H111" s="21"/>
    </row>
    <row r="112" hidden="1"/>
    <row r="113" s="5" customFormat="1" ht="14.25" spans="1:11">
      <c r="A113" s="5" t="s">
        <v>427</v>
      </c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="5" customFormat="1" ht="14.25" hidden="1" spans="1:11">
      <c r="A114" s="5" t="s">
        <v>428</v>
      </c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hidden="1"/>
    <row r="116" ht="24" hidden="1" spans="1:9">
      <c r="A116" s="25" t="s">
        <v>389</v>
      </c>
      <c r="B116" s="27" t="s">
        <v>560</v>
      </c>
      <c r="C116" s="29"/>
      <c r="D116" s="18" t="s">
        <v>429</v>
      </c>
      <c r="E116" s="18" t="s">
        <v>430</v>
      </c>
      <c r="F116" s="18" t="s">
        <v>431</v>
      </c>
      <c r="G116" s="18" t="s">
        <v>410</v>
      </c>
      <c r="H116" s="18" t="s">
        <v>411</v>
      </c>
      <c r="I116" s="18" t="s">
        <v>412</v>
      </c>
    </row>
    <row r="117" hidden="1" spans="1:9">
      <c r="A117" s="19">
        <v>1</v>
      </c>
      <c r="B117" s="30">
        <v>2</v>
      </c>
      <c r="C117" s="32"/>
      <c r="D117" s="19">
        <v>3</v>
      </c>
      <c r="E117" s="19">
        <v>4</v>
      </c>
      <c r="F117" s="19">
        <v>5</v>
      </c>
      <c r="G117" s="19">
        <v>6</v>
      </c>
      <c r="H117" s="19">
        <v>7</v>
      </c>
      <c r="I117" s="19">
        <v>8</v>
      </c>
    </row>
    <row r="118" hidden="1" spans="1:9">
      <c r="A118" s="20"/>
      <c r="B118" s="47" t="s">
        <v>561</v>
      </c>
      <c r="C118" s="48"/>
      <c r="D118" s="21"/>
      <c r="E118" s="21"/>
      <c r="F118" s="21"/>
      <c r="G118" s="36"/>
      <c r="H118" s="36"/>
      <c r="I118" s="36"/>
    </row>
    <row r="119" hidden="1" spans="1:9">
      <c r="A119" s="20"/>
      <c r="B119" s="47" t="s">
        <v>434</v>
      </c>
      <c r="C119" s="48"/>
      <c r="D119" s="21"/>
      <c r="E119" s="21">
        <v>12</v>
      </c>
      <c r="F119" s="21">
        <v>247.8</v>
      </c>
      <c r="G119" s="36">
        <f>D119*E119*F119</f>
        <v>0</v>
      </c>
      <c r="H119" s="36"/>
      <c r="I119" s="36"/>
    </row>
    <row r="120" hidden="1" spans="1:9">
      <c r="A120" s="20"/>
      <c r="B120" s="47" t="s">
        <v>435</v>
      </c>
      <c r="C120" s="48"/>
      <c r="D120" s="21"/>
      <c r="E120" s="21">
        <v>12</v>
      </c>
      <c r="F120" s="21">
        <v>0.61</v>
      </c>
      <c r="G120" s="36">
        <f t="shared" ref="G120:G121" si="18">D120*E120*F120</f>
        <v>0</v>
      </c>
      <c r="H120" s="36"/>
      <c r="I120" s="36"/>
    </row>
    <row r="121" hidden="1" spans="1:9">
      <c r="A121" s="20"/>
      <c r="B121" s="47" t="s">
        <v>436</v>
      </c>
      <c r="C121" s="48"/>
      <c r="D121" s="21"/>
      <c r="E121" s="21">
        <v>12</v>
      </c>
      <c r="F121" s="21">
        <v>2341.43</v>
      </c>
      <c r="G121" s="36">
        <f t="shared" si="18"/>
        <v>0</v>
      </c>
      <c r="H121" s="36"/>
      <c r="I121" s="36"/>
    </row>
    <row r="122" hidden="1" spans="1:9">
      <c r="A122" s="20"/>
      <c r="B122" s="30"/>
      <c r="C122" s="32"/>
      <c r="D122" s="21"/>
      <c r="E122" s="21"/>
      <c r="F122" s="21"/>
      <c r="G122" s="36"/>
      <c r="H122" s="36"/>
      <c r="I122" s="36"/>
    </row>
    <row r="123" hidden="1" spans="1:9">
      <c r="A123" s="20"/>
      <c r="B123" s="30"/>
      <c r="C123" s="32"/>
      <c r="D123" s="21"/>
      <c r="E123" s="21"/>
      <c r="F123" s="21"/>
      <c r="G123" s="36"/>
      <c r="H123" s="36"/>
      <c r="I123" s="36"/>
    </row>
    <row r="124" s="4" customFormat="1" ht="14.25" hidden="1" spans="1:11">
      <c r="A124" s="23"/>
      <c r="B124" s="45" t="s">
        <v>387</v>
      </c>
      <c r="C124" s="46"/>
      <c r="D124" s="24"/>
      <c r="E124" s="24"/>
      <c r="F124" s="24"/>
      <c r="G124" s="39">
        <f>ROUND(SUM(G118:G123),0)</f>
        <v>0</v>
      </c>
      <c r="H124" s="39">
        <f t="shared" ref="H124:I124" si="19">SUM(H118:H123)</f>
        <v>0</v>
      </c>
      <c r="I124" s="39">
        <f t="shared" si="19"/>
        <v>0</v>
      </c>
      <c r="J124" s="44"/>
      <c r="K124" s="44"/>
    </row>
    <row r="125" hidden="1"/>
    <row r="126" s="5" customFormat="1" ht="14.25" hidden="1" spans="1:11">
      <c r="A126" s="5" t="s">
        <v>437</v>
      </c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hidden="1"/>
    <row r="128" ht="36" hidden="1" spans="1:8">
      <c r="A128" s="25" t="s">
        <v>389</v>
      </c>
      <c r="B128" s="27" t="s">
        <v>416</v>
      </c>
      <c r="C128" s="29"/>
      <c r="D128" s="18" t="s">
        <v>438</v>
      </c>
      <c r="E128" s="18" t="s">
        <v>439</v>
      </c>
      <c r="F128" s="18" t="s">
        <v>410</v>
      </c>
      <c r="G128" s="18" t="s">
        <v>411</v>
      </c>
      <c r="H128" s="18" t="s">
        <v>412</v>
      </c>
    </row>
    <row r="129" hidden="1" spans="1:8">
      <c r="A129" s="19">
        <v>1</v>
      </c>
      <c r="B129" s="30">
        <v>2</v>
      </c>
      <c r="C129" s="32"/>
      <c r="D129" s="19">
        <v>3</v>
      </c>
      <c r="E129" s="19">
        <v>4</v>
      </c>
      <c r="F129" s="19">
        <v>5</v>
      </c>
      <c r="G129" s="19">
        <v>6</v>
      </c>
      <c r="H129" s="19">
        <v>7</v>
      </c>
    </row>
    <row r="130" hidden="1" spans="1:8">
      <c r="A130" s="20">
        <v>1</v>
      </c>
      <c r="B130" s="30" t="s">
        <v>440</v>
      </c>
      <c r="C130" s="32"/>
      <c r="D130" s="21"/>
      <c r="E130" s="21"/>
      <c r="F130" s="21">
        <f>D130*E130</f>
        <v>0</v>
      </c>
      <c r="G130" s="21"/>
      <c r="H130" s="21"/>
    </row>
    <row r="131" hidden="1" spans="1:8">
      <c r="A131" s="20"/>
      <c r="B131" s="30"/>
      <c r="C131" s="32"/>
      <c r="D131" s="21"/>
      <c r="E131" s="21"/>
      <c r="F131" s="21">
        <f t="shared" ref="F131:F135" si="20">D131*E131</f>
        <v>0</v>
      </c>
      <c r="G131" s="21"/>
      <c r="H131" s="21"/>
    </row>
    <row r="132" hidden="1" spans="1:8">
      <c r="A132" s="20"/>
      <c r="B132" s="30"/>
      <c r="C132" s="32"/>
      <c r="D132" s="21"/>
      <c r="E132" s="21"/>
      <c r="F132" s="21">
        <f t="shared" si="20"/>
        <v>0</v>
      </c>
      <c r="G132" s="21"/>
      <c r="H132" s="21"/>
    </row>
    <row r="133" hidden="1" spans="1:8">
      <c r="A133" s="20"/>
      <c r="B133" s="30"/>
      <c r="C133" s="32"/>
      <c r="D133" s="21"/>
      <c r="E133" s="21"/>
      <c r="F133" s="21">
        <f t="shared" si="20"/>
        <v>0</v>
      </c>
      <c r="G133" s="21"/>
      <c r="H133" s="21"/>
    </row>
    <row r="134" hidden="1" spans="1:8">
      <c r="A134" s="20"/>
      <c r="B134" s="30"/>
      <c r="C134" s="32"/>
      <c r="D134" s="21"/>
      <c r="E134" s="21"/>
      <c r="F134" s="21">
        <f t="shared" si="20"/>
        <v>0</v>
      </c>
      <c r="G134" s="21"/>
      <c r="H134" s="21"/>
    </row>
    <row r="135" hidden="1" spans="1:8">
      <c r="A135" s="20"/>
      <c r="B135" s="30"/>
      <c r="C135" s="32"/>
      <c r="D135" s="21"/>
      <c r="E135" s="21"/>
      <c r="F135" s="21">
        <f t="shared" si="20"/>
        <v>0</v>
      </c>
      <c r="G135" s="21"/>
      <c r="H135" s="21"/>
    </row>
    <row r="136" s="4" customFormat="1" ht="14.25" hidden="1" spans="1:11">
      <c r="A136" s="23"/>
      <c r="B136" s="45" t="s">
        <v>387</v>
      </c>
      <c r="C136" s="46"/>
      <c r="D136" s="24"/>
      <c r="E136" s="24"/>
      <c r="F136" s="24">
        <f>SUM(F130:F135)</f>
        <v>0</v>
      </c>
      <c r="G136" s="24">
        <f t="shared" ref="G136:H136" si="21">SUM(G130:G135)</f>
        <v>0</v>
      </c>
      <c r="H136" s="24">
        <f t="shared" si="21"/>
        <v>0</v>
      </c>
      <c r="I136" s="44"/>
      <c r="J136" s="44"/>
      <c r="K136" s="44"/>
    </row>
    <row r="137" hidden="1"/>
    <row r="138" s="5" customFormat="1" ht="14.25" hidden="1" spans="1:11">
      <c r="A138" s="5" t="s">
        <v>441</v>
      </c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hidden="1"/>
    <row r="140" ht="36" hidden="1" spans="1:9">
      <c r="A140" s="25" t="s">
        <v>389</v>
      </c>
      <c r="B140" s="27" t="s">
        <v>24</v>
      </c>
      <c r="C140" s="29"/>
      <c r="D140" s="18" t="s">
        <v>442</v>
      </c>
      <c r="E140" s="18" t="s">
        <v>443</v>
      </c>
      <c r="F140" s="18" t="s">
        <v>444</v>
      </c>
      <c r="G140" s="18" t="s">
        <v>410</v>
      </c>
      <c r="H140" s="18" t="s">
        <v>411</v>
      </c>
      <c r="I140" s="18" t="s">
        <v>412</v>
      </c>
    </row>
    <row r="141" hidden="1" spans="1:9">
      <c r="A141" s="19">
        <v>1</v>
      </c>
      <c r="B141" s="30">
        <v>2</v>
      </c>
      <c r="C141" s="32"/>
      <c r="D141" s="19">
        <v>3</v>
      </c>
      <c r="E141" s="19">
        <v>4</v>
      </c>
      <c r="F141" s="19">
        <v>5</v>
      </c>
      <c r="G141" s="19">
        <v>6</v>
      </c>
      <c r="H141" s="19">
        <v>7</v>
      </c>
      <c r="I141" s="19">
        <v>8</v>
      </c>
    </row>
    <row r="142" hidden="1" spans="1:9">
      <c r="A142" s="20"/>
      <c r="B142" s="30" t="s">
        <v>562</v>
      </c>
      <c r="C142" s="32"/>
      <c r="D142" s="21"/>
      <c r="E142" s="21"/>
      <c r="F142" s="21"/>
      <c r="G142" s="21">
        <f>D142*E142*F142</f>
        <v>0</v>
      </c>
      <c r="H142" s="21"/>
      <c r="I142" s="21"/>
    </row>
    <row r="143" hidden="1" spans="1:9">
      <c r="A143" s="20"/>
      <c r="B143" s="30"/>
      <c r="C143" s="32"/>
      <c r="D143" s="21"/>
      <c r="E143" s="21"/>
      <c r="F143" s="21"/>
      <c r="G143" s="21">
        <f t="shared" ref="G143:G147" si="22">D143*E143*F143</f>
        <v>0</v>
      </c>
      <c r="H143" s="21"/>
      <c r="I143" s="21"/>
    </row>
    <row r="144" hidden="1" spans="1:9">
      <c r="A144" s="20"/>
      <c r="B144" s="30" t="s">
        <v>562</v>
      </c>
      <c r="C144" s="32"/>
      <c r="D144" s="21"/>
      <c r="E144" s="21"/>
      <c r="F144" s="21"/>
      <c r="G144" s="21">
        <f t="shared" si="22"/>
        <v>0</v>
      </c>
      <c r="H144" s="21"/>
      <c r="I144" s="21"/>
    </row>
    <row r="145" hidden="1" spans="1:9">
      <c r="A145" s="20"/>
      <c r="B145" s="30"/>
      <c r="C145" s="32"/>
      <c r="D145" s="21"/>
      <c r="E145" s="21"/>
      <c r="F145" s="21"/>
      <c r="G145" s="21">
        <f t="shared" si="22"/>
        <v>0</v>
      </c>
      <c r="H145" s="21"/>
      <c r="I145" s="21"/>
    </row>
    <row r="146" hidden="1" spans="1:9">
      <c r="A146" s="20"/>
      <c r="B146" s="30" t="s">
        <v>562</v>
      </c>
      <c r="C146" s="32"/>
      <c r="D146" s="21"/>
      <c r="E146" s="21"/>
      <c r="F146" s="21"/>
      <c r="G146" s="21">
        <f t="shared" si="22"/>
        <v>0</v>
      </c>
      <c r="H146" s="21"/>
      <c r="I146" s="21"/>
    </row>
    <row r="147" hidden="1" spans="1:9">
      <c r="A147" s="20"/>
      <c r="B147" s="30"/>
      <c r="C147" s="32"/>
      <c r="D147" s="21"/>
      <c r="E147" s="21"/>
      <c r="F147" s="21"/>
      <c r="G147" s="21">
        <f t="shared" si="22"/>
        <v>0</v>
      </c>
      <c r="H147" s="21"/>
      <c r="I147" s="21"/>
    </row>
    <row r="148" s="4" customFormat="1" ht="14.25" hidden="1" spans="1:11">
      <c r="A148" s="23"/>
      <c r="B148" s="45" t="s">
        <v>387</v>
      </c>
      <c r="C148" s="46"/>
      <c r="D148" s="24"/>
      <c r="E148" s="24"/>
      <c r="F148" s="24"/>
      <c r="G148" s="24">
        <f>SUM(G142:G147)</f>
        <v>0</v>
      </c>
      <c r="H148" s="24">
        <f t="shared" ref="H148:I148" si="23">SUM(H142:H147)</f>
        <v>0</v>
      </c>
      <c r="I148" s="24">
        <f t="shared" si="23"/>
        <v>0</v>
      </c>
      <c r="J148" s="44"/>
      <c r="K148" s="44"/>
    </row>
    <row r="149" hidden="1"/>
    <row r="150" s="5" customFormat="1" ht="14.25" hidden="1" spans="1:11">
      <c r="A150" s="5" t="s">
        <v>461</v>
      </c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hidden="1"/>
    <row r="152" ht="48" hidden="1" spans="1:8">
      <c r="A152" s="25" t="s">
        <v>389</v>
      </c>
      <c r="B152" s="27" t="s">
        <v>24</v>
      </c>
      <c r="C152" s="29"/>
      <c r="D152" s="18" t="s">
        <v>462</v>
      </c>
      <c r="E152" s="18" t="s">
        <v>463</v>
      </c>
      <c r="F152" s="18" t="s">
        <v>464</v>
      </c>
      <c r="G152" s="18" t="s">
        <v>464</v>
      </c>
      <c r="H152" s="18" t="s">
        <v>464</v>
      </c>
    </row>
    <row r="153" hidden="1" spans="1:8">
      <c r="A153" s="19">
        <v>1</v>
      </c>
      <c r="B153" s="30">
        <v>2</v>
      </c>
      <c r="C153" s="32"/>
      <c r="D153" s="19">
        <v>3</v>
      </c>
      <c r="E153" s="19">
        <v>4</v>
      </c>
      <c r="F153" s="19">
        <v>5</v>
      </c>
      <c r="G153" s="19">
        <v>6</v>
      </c>
      <c r="H153" s="19">
        <v>7</v>
      </c>
    </row>
    <row r="154" hidden="1" spans="1:8">
      <c r="A154" s="20"/>
      <c r="B154" s="30"/>
      <c r="C154" s="32"/>
      <c r="D154" s="21"/>
      <c r="E154" s="21"/>
      <c r="F154" s="21"/>
      <c r="G154" s="21"/>
      <c r="H154" s="21"/>
    </row>
    <row r="155" hidden="1" spans="1:8">
      <c r="A155" s="20"/>
      <c r="B155" s="30"/>
      <c r="C155" s="32"/>
      <c r="D155" s="21"/>
      <c r="E155" s="21"/>
      <c r="F155" s="21"/>
      <c r="G155" s="21"/>
      <c r="H155" s="21"/>
    </row>
    <row r="156" hidden="1" spans="1:8">
      <c r="A156" s="20"/>
      <c r="B156" s="30"/>
      <c r="C156" s="32"/>
      <c r="D156" s="21"/>
      <c r="E156" s="21"/>
      <c r="F156" s="21"/>
      <c r="G156" s="21"/>
      <c r="H156" s="21"/>
    </row>
    <row r="157" hidden="1" spans="1:8">
      <c r="A157" s="20"/>
      <c r="B157" s="30"/>
      <c r="C157" s="32"/>
      <c r="D157" s="21"/>
      <c r="E157" s="21"/>
      <c r="F157" s="21"/>
      <c r="G157" s="21"/>
      <c r="H157" s="21"/>
    </row>
    <row r="158" hidden="1" spans="1:8">
      <c r="A158" s="20"/>
      <c r="B158" s="30"/>
      <c r="C158" s="32"/>
      <c r="D158" s="21"/>
      <c r="E158" s="21"/>
      <c r="F158" s="21"/>
      <c r="G158" s="21"/>
      <c r="H158" s="21"/>
    </row>
    <row r="159" hidden="1" spans="1:8">
      <c r="A159" s="20"/>
      <c r="B159" s="30"/>
      <c r="C159" s="32"/>
      <c r="D159" s="21"/>
      <c r="E159" s="21"/>
      <c r="F159" s="21"/>
      <c r="G159" s="21"/>
      <c r="H159" s="21"/>
    </row>
    <row r="160" s="4" customFormat="1" ht="14.25" hidden="1" spans="1:11">
      <c r="A160" s="23"/>
      <c r="B160" s="45" t="s">
        <v>387</v>
      </c>
      <c r="C160" s="46"/>
      <c r="D160" s="24"/>
      <c r="E160" s="24"/>
      <c r="F160" s="24">
        <f>SUM(F154:F159)</f>
        <v>0</v>
      </c>
      <c r="G160" s="24">
        <f t="shared" ref="G160:H160" si="24">SUM(G154:G159)</f>
        <v>0</v>
      </c>
      <c r="H160" s="24">
        <f t="shared" si="24"/>
        <v>0</v>
      </c>
      <c r="I160" s="44"/>
      <c r="J160" s="44"/>
      <c r="K160" s="44"/>
    </row>
    <row r="161" hidden="1"/>
    <row r="162" s="5" customFormat="1" ht="14.25" hidden="1" spans="1:11">
      <c r="A162" s="5" t="s">
        <v>465</v>
      </c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hidden="1"/>
    <row r="164" ht="24" hidden="1" spans="1:8">
      <c r="A164" s="25" t="s">
        <v>389</v>
      </c>
      <c r="B164" s="27" t="s">
        <v>24</v>
      </c>
      <c r="C164" s="29"/>
      <c r="D164" s="18" t="s">
        <v>466</v>
      </c>
      <c r="E164" s="18" t="s">
        <v>467</v>
      </c>
      <c r="F164" s="18" t="s">
        <v>410</v>
      </c>
      <c r="G164" s="18" t="s">
        <v>411</v>
      </c>
      <c r="H164" s="18" t="s">
        <v>412</v>
      </c>
    </row>
    <row r="165" hidden="1" spans="1:8">
      <c r="A165" s="19">
        <v>1</v>
      </c>
      <c r="B165" s="30">
        <v>2</v>
      </c>
      <c r="C165" s="32"/>
      <c r="D165" s="19">
        <v>3</v>
      </c>
      <c r="E165" s="19">
        <v>4</v>
      </c>
      <c r="F165" s="19">
        <v>5</v>
      </c>
      <c r="G165" s="19">
        <v>6</v>
      </c>
      <c r="H165" s="19">
        <v>7</v>
      </c>
    </row>
    <row r="166" hidden="1" spans="1:8">
      <c r="A166" s="20">
        <v>1</v>
      </c>
      <c r="B166" s="30" t="s">
        <v>563</v>
      </c>
      <c r="C166" s="32"/>
      <c r="D166" s="21"/>
      <c r="E166" s="21">
        <v>2460</v>
      </c>
      <c r="F166" s="21">
        <f>E166*D166</f>
        <v>0</v>
      </c>
      <c r="G166" s="21"/>
      <c r="H166" s="21"/>
    </row>
    <row r="167" hidden="1" spans="1:8">
      <c r="A167" s="20"/>
      <c r="B167" s="30" t="s">
        <v>564</v>
      </c>
      <c r="C167" s="32"/>
      <c r="D167" s="21"/>
      <c r="E167" s="21"/>
      <c r="F167" s="21">
        <f t="shared" ref="F167:F183" si="25">E167*D167</f>
        <v>0</v>
      </c>
      <c r="G167" s="21"/>
      <c r="H167" s="21"/>
    </row>
    <row r="168" hidden="1" spans="1:8">
      <c r="A168" s="20"/>
      <c r="B168" s="30"/>
      <c r="C168" s="32"/>
      <c r="D168" s="21"/>
      <c r="E168" s="21"/>
      <c r="F168" s="21">
        <f t="shared" si="25"/>
        <v>0</v>
      </c>
      <c r="G168" s="21"/>
      <c r="H168" s="21"/>
    </row>
    <row r="169" hidden="1" spans="1:8">
      <c r="A169" s="20"/>
      <c r="B169" s="30"/>
      <c r="C169" s="32"/>
      <c r="D169" s="21"/>
      <c r="E169" s="21"/>
      <c r="F169" s="21">
        <f t="shared" si="25"/>
        <v>0</v>
      </c>
      <c r="G169" s="21"/>
      <c r="H169" s="21"/>
    </row>
    <row r="170" hidden="1" spans="1:8">
      <c r="A170" s="20"/>
      <c r="B170" s="30"/>
      <c r="C170" s="32"/>
      <c r="D170" s="21"/>
      <c r="E170" s="21"/>
      <c r="F170" s="21">
        <f t="shared" si="25"/>
        <v>0</v>
      </c>
      <c r="G170" s="21"/>
      <c r="H170" s="21"/>
    </row>
    <row r="171" hidden="1" spans="1:8">
      <c r="A171" s="20"/>
      <c r="B171" s="30"/>
      <c r="C171" s="32"/>
      <c r="D171" s="21"/>
      <c r="E171" s="21"/>
      <c r="F171" s="21">
        <f t="shared" si="25"/>
        <v>0</v>
      </c>
      <c r="G171" s="21"/>
      <c r="H171" s="21"/>
    </row>
    <row r="172" hidden="1" spans="1:8">
      <c r="A172" s="20"/>
      <c r="B172" s="30"/>
      <c r="C172" s="32"/>
      <c r="D172" s="21"/>
      <c r="E172" s="21"/>
      <c r="F172" s="21">
        <f t="shared" si="25"/>
        <v>0</v>
      </c>
      <c r="G172" s="21"/>
      <c r="H172" s="21"/>
    </row>
    <row r="173" hidden="1" spans="1:8">
      <c r="A173" s="20"/>
      <c r="B173" s="30"/>
      <c r="C173" s="32"/>
      <c r="D173" s="21"/>
      <c r="E173" s="21"/>
      <c r="F173" s="21">
        <f t="shared" si="25"/>
        <v>0</v>
      </c>
      <c r="G173" s="21"/>
      <c r="H173" s="21"/>
    </row>
    <row r="174" hidden="1" spans="1:8">
      <c r="A174" s="20"/>
      <c r="B174" s="30"/>
      <c r="C174" s="32"/>
      <c r="D174" s="21"/>
      <c r="E174" s="21"/>
      <c r="F174" s="21">
        <f t="shared" si="25"/>
        <v>0</v>
      </c>
      <c r="G174" s="21"/>
      <c r="H174" s="21"/>
    </row>
    <row r="175" hidden="1" spans="1:8">
      <c r="A175" s="20"/>
      <c r="B175" s="30"/>
      <c r="C175" s="32"/>
      <c r="D175" s="21"/>
      <c r="E175" s="21"/>
      <c r="F175" s="21">
        <f t="shared" si="25"/>
        <v>0</v>
      </c>
      <c r="G175" s="21"/>
      <c r="H175" s="21"/>
    </row>
    <row r="176" hidden="1" spans="1:8">
      <c r="A176" s="20"/>
      <c r="B176" s="30"/>
      <c r="C176" s="32"/>
      <c r="D176" s="21"/>
      <c r="E176" s="21"/>
      <c r="F176" s="21">
        <f t="shared" si="25"/>
        <v>0</v>
      </c>
      <c r="G176" s="21"/>
      <c r="H176" s="21"/>
    </row>
    <row r="177" hidden="1" spans="1:8">
      <c r="A177" s="20"/>
      <c r="B177" s="30"/>
      <c r="C177" s="32"/>
      <c r="D177" s="21"/>
      <c r="E177" s="21"/>
      <c r="F177" s="21">
        <f t="shared" si="25"/>
        <v>0</v>
      </c>
      <c r="G177" s="21"/>
      <c r="H177" s="21"/>
    </row>
    <row r="178" hidden="1" spans="1:8">
      <c r="A178" s="20"/>
      <c r="B178" s="30"/>
      <c r="C178" s="32"/>
      <c r="D178" s="21"/>
      <c r="E178" s="21"/>
      <c r="F178" s="21">
        <f t="shared" si="25"/>
        <v>0</v>
      </c>
      <c r="G178" s="21"/>
      <c r="H178" s="21"/>
    </row>
    <row r="179" hidden="1" spans="1:8">
      <c r="A179" s="20"/>
      <c r="B179" s="30"/>
      <c r="C179" s="32"/>
      <c r="D179" s="21"/>
      <c r="E179" s="21"/>
      <c r="F179" s="21">
        <f t="shared" si="25"/>
        <v>0</v>
      </c>
      <c r="G179" s="21"/>
      <c r="H179" s="21"/>
    </row>
    <row r="180" hidden="1" spans="1:8">
      <c r="A180" s="20"/>
      <c r="B180" s="30"/>
      <c r="C180" s="32"/>
      <c r="D180" s="21"/>
      <c r="E180" s="21"/>
      <c r="F180" s="21">
        <f t="shared" si="25"/>
        <v>0</v>
      </c>
      <c r="G180" s="21"/>
      <c r="H180" s="21"/>
    </row>
    <row r="181" hidden="1" spans="1:8">
      <c r="A181" s="20"/>
      <c r="B181" s="30"/>
      <c r="C181" s="32"/>
      <c r="D181" s="21"/>
      <c r="E181" s="21"/>
      <c r="F181" s="21">
        <f t="shared" si="25"/>
        <v>0</v>
      </c>
      <c r="G181" s="21"/>
      <c r="H181" s="21"/>
    </row>
    <row r="182" hidden="1" spans="1:8">
      <c r="A182" s="20"/>
      <c r="B182" s="30"/>
      <c r="C182" s="32"/>
      <c r="D182" s="21"/>
      <c r="E182" s="21"/>
      <c r="F182" s="21">
        <f t="shared" si="25"/>
        <v>0</v>
      </c>
      <c r="G182" s="21"/>
      <c r="H182" s="21"/>
    </row>
    <row r="183" hidden="1" spans="1:8">
      <c r="A183" s="20"/>
      <c r="B183" s="30"/>
      <c r="C183" s="32"/>
      <c r="D183" s="21"/>
      <c r="E183" s="21"/>
      <c r="F183" s="21">
        <f t="shared" si="25"/>
        <v>0</v>
      </c>
      <c r="G183" s="21"/>
      <c r="H183" s="21"/>
    </row>
    <row r="184" s="4" customFormat="1" ht="14.25" hidden="1" spans="1:11">
      <c r="A184" s="23"/>
      <c r="B184" s="45" t="s">
        <v>387</v>
      </c>
      <c r="C184" s="46"/>
      <c r="D184" s="24"/>
      <c r="E184" s="24"/>
      <c r="F184" s="24">
        <f>SUM(F166:F183)</f>
        <v>0</v>
      </c>
      <c r="G184" s="24">
        <f t="shared" ref="G184:H184" si="26">SUM(G166:G183)</f>
        <v>0</v>
      </c>
      <c r="H184" s="24">
        <f t="shared" si="26"/>
        <v>0</v>
      </c>
      <c r="I184" s="44"/>
      <c r="J184" s="44"/>
      <c r="K184" s="44"/>
    </row>
    <row r="185" hidden="1"/>
    <row r="186" s="5" customFormat="1" ht="14.25" spans="1:11">
      <c r="A186" s="5" t="s">
        <v>502</v>
      </c>
      <c r="B186" s="15"/>
      <c r="C186" s="15"/>
      <c r="D186" s="15"/>
      <c r="E186" s="15"/>
      <c r="F186" s="15"/>
      <c r="G186" s="15"/>
      <c r="H186" s="15"/>
      <c r="I186" s="15"/>
      <c r="J186" s="15"/>
      <c r="K186" s="15"/>
    </row>
    <row r="188" ht="24" spans="1:8">
      <c r="A188" s="25" t="s">
        <v>389</v>
      </c>
      <c r="B188" s="27" t="s">
        <v>416</v>
      </c>
      <c r="C188" s="29"/>
      <c r="D188" s="18" t="s">
        <v>466</v>
      </c>
      <c r="E188" s="18" t="s">
        <v>467</v>
      </c>
      <c r="F188" s="18" t="s">
        <v>410</v>
      </c>
      <c r="G188" s="18" t="s">
        <v>411</v>
      </c>
      <c r="H188" s="18" t="s">
        <v>412</v>
      </c>
    </row>
    <row r="189" spans="1:8">
      <c r="A189" s="19">
        <v>1</v>
      </c>
      <c r="B189" s="30">
        <v>2</v>
      </c>
      <c r="C189" s="32"/>
      <c r="D189" s="19">
        <v>3</v>
      </c>
      <c r="E189" s="19">
        <v>4</v>
      </c>
      <c r="F189" s="19">
        <v>5</v>
      </c>
      <c r="G189" s="19">
        <v>6</v>
      </c>
      <c r="H189" s="19">
        <v>7</v>
      </c>
    </row>
    <row r="190" ht="29.25" customHeight="1" spans="1:8">
      <c r="A190" s="20">
        <v>1</v>
      </c>
      <c r="B190" s="52" t="s">
        <v>576</v>
      </c>
      <c r="C190" s="53"/>
      <c r="D190" s="21">
        <v>1</v>
      </c>
      <c r="E190" s="21">
        <v>41151</v>
      </c>
      <c r="F190" s="21">
        <f>E190*D190</f>
        <v>41151</v>
      </c>
      <c r="G190" s="21">
        <v>41151</v>
      </c>
      <c r="H190" s="21">
        <v>41151</v>
      </c>
    </row>
    <row r="191" spans="1:8">
      <c r="A191" s="20"/>
      <c r="B191" s="47" t="s">
        <v>577</v>
      </c>
      <c r="C191" s="48"/>
      <c r="D191" s="21"/>
      <c r="E191" s="21"/>
      <c r="F191" s="21">
        <f t="shared" ref="F191:F209" si="27">E191*D191</f>
        <v>0</v>
      </c>
      <c r="G191" s="21"/>
      <c r="H191" s="21"/>
    </row>
    <row r="192" spans="1:8">
      <c r="A192" s="20"/>
      <c r="B192" s="47" t="s">
        <v>578</v>
      </c>
      <c r="C192" s="48"/>
      <c r="D192" s="21"/>
      <c r="E192" s="21"/>
      <c r="F192" s="21">
        <f t="shared" si="27"/>
        <v>0</v>
      </c>
      <c r="G192" s="21"/>
      <c r="H192" s="21"/>
    </row>
    <row r="193" spans="1:8">
      <c r="A193" s="20"/>
      <c r="B193" s="56" t="s">
        <v>579</v>
      </c>
      <c r="C193" s="32"/>
      <c r="D193" s="21"/>
      <c r="E193" s="21"/>
      <c r="F193" s="21">
        <f t="shared" si="27"/>
        <v>0</v>
      </c>
      <c r="G193" s="21"/>
      <c r="H193" s="21"/>
    </row>
    <row r="194" spans="1:8">
      <c r="A194" s="20"/>
      <c r="B194" s="47" t="s">
        <v>580</v>
      </c>
      <c r="C194" s="48"/>
      <c r="D194" s="21"/>
      <c r="E194" s="21"/>
      <c r="F194" s="21">
        <f t="shared" si="27"/>
        <v>0</v>
      </c>
      <c r="G194" s="21"/>
      <c r="H194" s="21"/>
    </row>
    <row r="195" hidden="1" spans="1:8">
      <c r="A195" s="20"/>
      <c r="B195" s="30"/>
      <c r="C195" s="32"/>
      <c r="D195" s="21"/>
      <c r="E195" s="21"/>
      <c r="F195" s="21">
        <f t="shared" si="27"/>
        <v>0</v>
      </c>
      <c r="G195" s="21"/>
      <c r="H195" s="21"/>
    </row>
    <row r="196" hidden="1" spans="1:8">
      <c r="A196" s="20"/>
      <c r="B196" s="30"/>
      <c r="C196" s="32"/>
      <c r="D196" s="21"/>
      <c r="E196" s="21"/>
      <c r="F196" s="21">
        <f t="shared" si="27"/>
        <v>0</v>
      </c>
      <c r="G196" s="21"/>
      <c r="H196" s="21"/>
    </row>
    <row r="197" hidden="1" spans="1:8">
      <c r="A197" s="20"/>
      <c r="B197" s="30"/>
      <c r="C197" s="32"/>
      <c r="D197" s="21"/>
      <c r="E197" s="21"/>
      <c r="F197" s="21">
        <f t="shared" si="27"/>
        <v>0</v>
      </c>
      <c r="G197" s="21"/>
      <c r="H197" s="21"/>
    </row>
    <row r="198" hidden="1" spans="1:8">
      <c r="A198" s="20"/>
      <c r="B198" s="30"/>
      <c r="C198" s="32"/>
      <c r="D198" s="21"/>
      <c r="E198" s="21"/>
      <c r="F198" s="21">
        <f t="shared" si="27"/>
        <v>0</v>
      </c>
      <c r="G198" s="21"/>
      <c r="H198" s="21"/>
    </row>
    <row r="199" hidden="1" spans="1:8">
      <c r="A199" s="20"/>
      <c r="B199" s="30"/>
      <c r="C199" s="32"/>
      <c r="D199" s="21"/>
      <c r="E199" s="21"/>
      <c r="F199" s="21">
        <f t="shared" si="27"/>
        <v>0</v>
      </c>
      <c r="G199" s="21"/>
      <c r="H199" s="21"/>
    </row>
    <row r="200" hidden="1" spans="1:8">
      <c r="A200" s="20"/>
      <c r="B200" s="30"/>
      <c r="C200" s="32"/>
      <c r="D200" s="21"/>
      <c r="E200" s="21"/>
      <c r="F200" s="21">
        <f t="shared" si="27"/>
        <v>0</v>
      </c>
      <c r="G200" s="21"/>
      <c r="H200" s="21"/>
    </row>
    <row r="201" hidden="1" spans="1:8">
      <c r="A201" s="20"/>
      <c r="B201" s="30"/>
      <c r="C201" s="32"/>
      <c r="D201" s="21"/>
      <c r="E201" s="21"/>
      <c r="F201" s="21">
        <f t="shared" si="27"/>
        <v>0</v>
      </c>
      <c r="G201" s="21"/>
      <c r="H201" s="21"/>
    </row>
    <row r="202" hidden="1" spans="1:8">
      <c r="A202" s="20"/>
      <c r="B202" s="30"/>
      <c r="C202" s="32"/>
      <c r="D202" s="21"/>
      <c r="E202" s="21"/>
      <c r="F202" s="21">
        <f t="shared" si="27"/>
        <v>0</v>
      </c>
      <c r="G202" s="21"/>
      <c r="H202" s="21"/>
    </row>
    <row r="203" hidden="1" spans="1:8">
      <c r="A203" s="20"/>
      <c r="B203" s="30"/>
      <c r="C203" s="32"/>
      <c r="D203" s="21"/>
      <c r="E203" s="21"/>
      <c r="F203" s="21">
        <f t="shared" si="27"/>
        <v>0</v>
      </c>
      <c r="G203" s="21"/>
      <c r="H203" s="21"/>
    </row>
    <row r="204" hidden="1" spans="1:8">
      <c r="A204" s="20"/>
      <c r="B204" s="30"/>
      <c r="C204" s="32"/>
      <c r="D204" s="21"/>
      <c r="E204" s="21"/>
      <c r="F204" s="21">
        <f t="shared" si="27"/>
        <v>0</v>
      </c>
      <c r="G204" s="21"/>
      <c r="H204" s="21"/>
    </row>
    <row r="205" hidden="1" spans="1:8">
      <c r="A205" s="20"/>
      <c r="B205" s="30"/>
      <c r="C205" s="32"/>
      <c r="D205" s="21"/>
      <c r="E205" s="21"/>
      <c r="F205" s="21">
        <f t="shared" si="27"/>
        <v>0</v>
      </c>
      <c r="G205" s="21"/>
      <c r="H205" s="21"/>
    </row>
    <row r="206" hidden="1" spans="1:8">
      <c r="A206" s="20"/>
      <c r="B206" s="30"/>
      <c r="C206" s="32"/>
      <c r="D206" s="21"/>
      <c r="E206" s="21"/>
      <c r="F206" s="21">
        <f t="shared" si="27"/>
        <v>0</v>
      </c>
      <c r="G206" s="21"/>
      <c r="H206" s="21"/>
    </row>
    <row r="207" hidden="1" spans="1:8">
      <c r="A207" s="20"/>
      <c r="B207" s="30"/>
      <c r="C207" s="32"/>
      <c r="D207" s="21"/>
      <c r="E207" s="21"/>
      <c r="F207" s="21">
        <f t="shared" si="27"/>
        <v>0</v>
      </c>
      <c r="G207" s="21"/>
      <c r="H207" s="21"/>
    </row>
    <row r="208" hidden="1" spans="1:8">
      <c r="A208" s="20"/>
      <c r="B208" s="30"/>
      <c r="C208" s="32"/>
      <c r="D208" s="21"/>
      <c r="E208" s="21"/>
      <c r="F208" s="21">
        <f t="shared" si="27"/>
        <v>0</v>
      </c>
      <c r="G208" s="21"/>
      <c r="H208" s="21"/>
    </row>
    <row r="209" hidden="1" spans="1:8">
      <c r="A209" s="20"/>
      <c r="B209" s="30"/>
      <c r="C209" s="32"/>
      <c r="D209" s="21"/>
      <c r="E209" s="21"/>
      <c r="F209" s="21">
        <f t="shared" si="27"/>
        <v>0</v>
      </c>
      <c r="G209" s="21"/>
      <c r="H209" s="21"/>
    </row>
    <row r="210" s="4" customFormat="1" ht="14.25" spans="1:11">
      <c r="A210" s="23"/>
      <c r="B210" s="45" t="s">
        <v>387</v>
      </c>
      <c r="C210" s="46"/>
      <c r="D210" s="24"/>
      <c r="E210" s="24"/>
      <c r="F210" s="24">
        <f>SUM(F190:F209)</f>
        <v>41151</v>
      </c>
      <c r="G210" s="24">
        <f t="shared" ref="G210:H210" si="28">SUM(G190:G209)</f>
        <v>41151</v>
      </c>
      <c r="H210" s="24">
        <f t="shared" si="28"/>
        <v>41151</v>
      </c>
      <c r="I210" s="44"/>
      <c r="J210" s="44"/>
      <c r="K210" s="44"/>
    </row>
    <row r="212" s="5" customFormat="1" ht="14.25" spans="1:11">
      <c r="A212" s="5" t="s">
        <v>527</v>
      </c>
      <c r="B212" s="15"/>
      <c r="C212" s="15"/>
      <c r="D212" s="15"/>
      <c r="E212" s="15"/>
      <c r="F212" s="15"/>
      <c r="G212" s="15"/>
      <c r="H212" s="15"/>
      <c r="I212" s="15"/>
      <c r="J212" s="15"/>
      <c r="K212" s="15"/>
    </row>
    <row r="214" ht="24" spans="1:8">
      <c r="A214" s="25" t="s">
        <v>389</v>
      </c>
      <c r="B214" s="27" t="s">
        <v>416</v>
      </c>
      <c r="C214" s="29"/>
      <c r="D214" s="18" t="s">
        <v>462</v>
      </c>
      <c r="E214" s="18" t="s">
        <v>467</v>
      </c>
      <c r="F214" s="18" t="s">
        <v>410</v>
      </c>
      <c r="G214" s="18" t="s">
        <v>411</v>
      </c>
      <c r="H214" s="18" t="s">
        <v>412</v>
      </c>
    </row>
    <row r="215" spans="1:8">
      <c r="A215" s="19">
        <v>1</v>
      </c>
      <c r="B215" s="30">
        <v>2</v>
      </c>
      <c r="C215" s="32"/>
      <c r="D215" s="19">
        <v>3</v>
      </c>
      <c r="E215" s="19">
        <v>4</v>
      </c>
      <c r="F215" s="19">
        <v>5</v>
      </c>
      <c r="G215" s="19">
        <v>6</v>
      </c>
      <c r="H215" s="19">
        <v>7</v>
      </c>
    </row>
    <row r="216" ht="31.5" customHeight="1" spans="1:8">
      <c r="A216" s="20">
        <v>1</v>
      </c>
      <c r="B216" s="78" t="s">
        <v>581</v>
      </c>
      <c r="C216" s="79"/>
      <c r="D216" s="21">
        <v>1</v>
      </c>
      <c r="E216" s="21">
        <f>201930-59434-72000</f>
        <v>70496</v>
      </c>
      <c r="F216" s="21">
        <f>D216*E216</f>
        <v>70496</v>
      </c>
      <c r="G216" s="21">
        <v>201930</v>
      </c>
      <c r="H216" s="21">
        <v>201930</v>
      </c>
    </row>
    <row r="217" ht="30" customHeight="1" spans="1:8">
      <c r="A217" s="94">
        <v>2</v>
      </c>
      <c r="B217" s="52" t="s">
        <v>582</v>
      </c>
      <c r="C217" s="53"/>
      <c r="D217" s="87"/>
      <c r="E217" s="21"/>
      <c r="F217" s="21">
        <f>SUM(F218:F288)</f>
        <v>59434</v>
      </c>
      <c r="G217" s="21"/>
      <c r="H217" s="21"/>
    </row>
    <row r="218" spans="1:8">
      <c r="A218" s="37"/>
      <c r="B218" s="95" t="s">
        <v>583</v>
      </c>
      <c r="C218" s="87"/>
      <c r="D218" s="96">
        <v>2</v>
      </c>
      <c r="E218" s="97">
        <v>1734</v>
      </c>
      <c r="F218" s="21">
        <f t="shared" ref="F218:F625" si="29">D218*E218</f>
        <v>3468</v>
      </c>
      <c r="G218" s="21"/>
      <c r="H218" s="21"/>
    </row>
    <row r="219" spans="1:8">
      <c r="A219" s="37"/>
      <c r="B219" s="95" t="s">
        <v>584</v>
      </c>
      <c r="C219" s="87"/>
      <c r="D219" s="96">
        <v>1</v>
      </c>
      <c r="E219" s="98">
        <v>102</v>
      </c>
      <c r="F219" s="21">
        <f t="shared" si="29"/>
        <v>102</v>
      </c>
      <c r="G219" s="21"/>
      <c r="H219" s="21"/>
    </row>
    <row r="220" spans="1:8">
      <c r="A220" s="37"/>
      <c r="B220" s="95" t="s">
        <v>585</v>
      </c>
      <c r="C220" s="87"/>
      <c r="D220" s="96">
        <v>2</v>
      </c>
      <c r="E220" s="98">
        <v>565</v>
      </c>
      <c r="F220" s="21">
        <f t="shared" si="29"/>
        <v>1130</v>
      </c>
      <c r="G220" s="21"/>
      <c r="H220" s="21"/>
    </row>
    <row r="221" spans="1:8">
      <c r="A221" s="37"/>
      <c r="B221" s="95" t="s">
        <v>585</v>
      </c>
      <c r="C221" s="87"/>
      <c r="D221" s="96">
        <v>2</v>
      </c>
      <c r="E221" s="98">
        <v>578</v>
      </c>
      <c r="F221" s="21">
        <f t="shared" si="29"/>
        <v>1156</v>
      </c>
      <c r="G221" s="21"/>
      <c r="H221" s="21"/>
    </row>
    <row r="222" spans="1:8">
      <c r="A222" s="37"/>
      <c r="B222" s="95" t="s">
        <v>586</v>
      </c>
      <c r="C222" s="87"/>
      <c r="D222" s="96">
        <v>10</v>
      </c>
      <c r="E222" s="98">
        <v>165</v>
      </c>
      <c r="F222" s="21">
        <f t="shared" si="29"/>
        <v>1650</v>
      </c>
      <c r="G222" s="21"/>
      <c r="H222" s="21"/>
    </row>
    <row r="223" spans="1:8">
      <c r="A223" s="37"/>
      <c r="B223" s="95" t="s">
        <v>587</v>
      </c>
      <c r="C223" s="87"/>
      <c r="D223" s="96">
        <v>10</v>
      </c>
      <c r="E223" s="98">
        <v>25</v>
      </c>
      <c r="F223" s="21">
        <f t="shared" si="29"/>
        <v>250</v>
      </c>
      <c r="G223" s="21"/>
      <c r="H223" s="21"/>
    </row>
    <row r="224" spans="1:8">
      <c r="A224" s="37"/>
      <c r="B224" s="95" t="s">
        <v>588</v>
      </c>
      <c r="C224" s="87"/>
      <c r="D224" s="96">
        <v>2</v>
      </c>
      <c r="E224" s="98">
        <v>262</v>
      </c>
      <c r="F224" s="21">
        <f t="shared" si="29"/>
        <v>524</v>
      </c>
      <c r="G224" s="21"/>
      <c r="H224" s="21"/>
    </row>
    <row r="225" spans="1:8">
      <c r="A225" s="37"/>
      <c r="B225" s="95" t="s">
        <v>589</v>
      </c>
      <c r="C225" s="87"/>
      <c r="D225" s="96">
        <v>1</v>
      </c>
      <c r="E225" s="97">
        <v>1199</v>
      </c>
      <c r="F225" s="21">
        <f t="shared" si="29"/>
        <v>1199</v>
      </c>
      <c r="G225" s="21"/>
      <c r="H225" s="21"/>
    </row>
    <row r="226" spans="1:8">
      <c r="A226" s="37"/>
      <c r="B226" s="95" t="s">
        <v>589</v>
      </c>
      <c r="C226" s="87"/>
      <c r="D226" s="96">
        <v>1</v>
      </c>
      <c r="E226" s="98">
        <v>915</v>
      </c>
      <c r="F226" s="21">
        <f t="shared" si="29"/>
        <v>915</v>
      </c>
      <c r="G226" s="21"/>
      <c r="H226" s="21"/>
    </row>
    <row r="227" spans="1:8">
      <c r="A227" s="37"/>
      <c r="B227" s="95" t="s">
        <v>589</v>
      </c>
      <c r="C227" s="87"/>
      <c r="D227" s="96">
        <v>1</v>
      </c>
      <c r="E227" s="98">
        <v>823</v>
      </c>
      <c r="F227" s="21">
        <f t="shared" si="29"/>
        <v>823</v>
      </c>
      <c r="G227" s="21"/>
      <c r="H227" s="21"/>
    </row>
    <row r="228" spans="1:8">
      <c r="A228" s="37"/>
      <c r="B228" s="95" t="s">
        <v>589</v>
      </c>
      <c r="C228" s="87"/>
      <c r="D228" s="96">
        <v>1</v>
      </c>
      <c r="E228" s="97">
        <v>1011</v>
      </c>
      <c r="F228" s="21">
        <f t="shared" si="29"/>
        <v>1011</v>
      </c>
      <c r="G228" s="21"/>
      <c r="H228" s="21"/>
    </row>
    <row r="229" spans="1:8">
      <c r="A229" s="37"/>
      <c r="B229" s="95" t="s">
        <v>589</v>
      </c>
      <c r="C229" s="87"/>
      <c r="D229" s="96">
        <v>1</v>
      </c>
      <c r="E229" s="97">
        <v>1131</v>
      </c>
      <c r="F229" s="21">
        <f t="shared" si="29"/>
        <v>1131</v>
      </c>
      <c r="G229" s="21"/>
      <c r="H229" s="21"/>
    </row>
    <row r="230" spans="1:8">
      <c r="A230" s="37"/>
      <c r="B230" s="95" t="s">
        <v>589</v>
      </c>
      <c r="C230" s="87"/>
      <c r="D230" s="96">
        <v>1</v>
      </c>
      <c r="E230" s="97">
        <v>1198</v>
      </c>
      <c r="F230" s="21">
        <f t="shared" si="29"/>
        <v>1198</v>
      </c>
      <c r="G230" s="21"/>
      <c r="H230" s="21"/>
    </row>
    <row r="231" spans="1:8">
      <c r="A231" s="37"/>
      <c r="B231" s="95" t="s">
        <v>589</v>
      </c>
      <c r="C231" s="87"/>
      <c r="D231" s="96">
        <v>1</v>
      </c>
      <c r="E231" s="98">
        <v>958</v>
      </c>
      <c r="F231" s="21">
        <f t="shared" si="29"/>
        <v>958</v>
      </c>
      <c r="G231" s="21"/>
      <c r="H231" s="21"/>
    </row>
    <row r="232" spans="1:8">
      <c r="A232" s="37"/>
      <c r="B232" s="95" t="s">
        <v>589</v>
      </c>
      <c r="C232" s="87"/>
      <c r="D232" s="96">
        <v>1</v>
      </c>
      <c r="E232" s="98">
        <v>900</v>
      </c>
      <c r="F232" s="21">
        <f t="shared" si="29"/>
        <v>900</v>
      </c>
      <c r="G232" s="21"/>
      <c r="H232" s="21"/>
    </row>
    <row r="233" spans="1:8">
      <c r="A233" s="37"/>
      <c r="B233" s="95" t="s">
        <v>589</v>
      </c>
      <c r="C233" s="87"/>
      <c r="D233" s="96">
        <v>1</v>
      </c>
      <c r="E233" s="98">
        <v>988</v>
      </c>
      <c r="F233" s="21">
        <f t="shared" si="29"/>
        <v>988</v>
      </c>
      <c r="G233" s="21"/>
      <c r="H233" s="21"/>
    </row>
    <row r="234" spans="1:8">
      <c r="A234" s="37"/>
      <c r="B234" s="95" t="s">
        <v>590</v>
      </c>
      <c r="C234" s="87"/>
      <c r="D234" s="96">
        <v>1</v>
      </c>
      <c r="E234" s="97">
        <v>1900</v>
      </c>
      <c r="F234" s="21">
        <f t="shared" si="29"/>
        <v>1900</v>
      </c>
      <c r="G234" s="21"/>
      <c r="H234" s="21"/>
    </row>
    <row r="235" spans="1:8">
      <c r="A235" s="37"/>
      <c r="B235" s="95" t="s">
        <v>591</v>
      </c>
      <c r="C235" s="87"/>
      <c r="D235" s="96">
        <v>1</v>
      </c>
      <c r="E235" s="97">
        <v>1390</v>
      </c>
      <c r="F235" s="21">
        <f t="shared" si="29"/>
        <v>1390</v>
      </c>
      <c r="G235" s="21"/>
      <c r="H235" s="21"/>
    </row>
    <row r="236" spans="1:8">
      <c r="A236" s="37"/>
      <c r="B236" s="95" t="s">
        <v>592</v>
      </c>
      <c r="C236" s="87"/>
      <c r="D236" s="96">
        <v>1</v>
      </c>
      <c r="E236" s="98">
        <v>290</v>
      </c>
      <c r="F236" s="21">
        <f t="shared" si="29"/>
        <v>290</v>
      </c>
      <c r="G236" s="21"/>
      <c r="H236" s="21"/>
    </row>
    <row r="237" spans="1:8">
      <c r="A237" s="37"/>
      <c r="B237" s="95" t="s">
        <v>593</v>
      </c>
      <c r="C237" s="87"/>
      <c r="D237" s="96">
        <v>1</v>
      </c>
      <c r="E237" s="98">
        <v>262</v>
      </c>
      <c r="F237" s="21">
        <f t="shared" si="29"/>
        <v>262</v>
      </c>
      <c r="G237" s="21"/>
      <c r="H237" s="21"/>
    </row>
    <row r="238" spans="1:8">
      <c r="A238" s="37"/>
      <c r="B238" s="95" t="s">
        <v>593</v>
      </c>
      <c r="C238" s="87"/>
      <c r="D238" s="96">
        <v>1</v>
      </c>
      <c r="E238" s="98">
        <v>124</v>
      </c>
      <c r="F238" s="21">
        <f t="shared" si="29"/>
        <v>124</v>
      </c>
      <c r="G238" s="21"/>
      <c r="H238" s="21"/>
    </row>
    <row r="239" spans="1:8">
      <c r="A239" s="37"/>
      <c r="B239" s="95" t="s">
        <v>593</v>
      </c>
      <c r="C239" s="87"/>
      <c r="D239" s="96">
        <v>1</v>
      </c>
      <c r="E239" s="98">
        <v>257</v>
      </c>
      <c r="F239" s="21">
        <f t="shared" si="29"/>
        <v>257</v>
      </c>
      <c r="G239" s="21"/>
      <c r="H239" s="99"/>
    </row>
    <row r="240" spans="1:8">
      <c r="A240" s="37"/>
      <c r="B240" s="95" t="s">
        <v>594</v>
      </c>
      <c r="C240" s="87"/>
      <c r="D240" s="96">
        <v>2</v>
      </c>
      <c r="E240" s="98">
        <v>138</v>
      </c>
      <c r="F240" s="21">
        <f t="shared" si="29"/>
        <v>276</v>
      </c>
      <c r="G240" s="21"/>
      <c r="H240" s="62"/>
    </row>
    <row r="241" spans="1:8">
      <c r="A241" s="37"/>
      <c r="B241" s="95" t="s">
        <v>595</v>
      </c>
      <c r="C241" s="87"/>
      <c r="D241" s="96">
        <v>2</v>
      </c>
      <c r="E241" s="98">
        <v>356</v>
      </c>
      <c r="F241" s="21">
        <f t="shared" si="29"/>
        <v>712</v>
      </c>
      <c r="G241" s="21"/>
      <c r="H241" s="21"/>
    </row>
    <row r="242" spans="1:8">
      <c r="A242" s="37"/>
      <c r="B242" s="95" t="s">
        <v>596</v>
      </c>
      <c r="C242" s="87"/>
      <c r="D242" s="96">
        <v>1</v>
      </c>
      <c r="E242" s="98">
        <v>229</v>
      </c>
      <c r="F242" s="21">
        <f t="shared" si="29"/>
        <v>229</v>
      </c>
      <c r="G242" s="21"/>
      <c r="H242" s="21"/>
    </row>
    <row r="243" spans="1:8">
      <c r="A243" s="37"/>
      <c r="B243" s="95" t="s">
        <v>597</v>
      </c>
      <c r="C243" s="87"/>
      <c r="D243" s="96">
        <v>1</v>
      </c>
      <c r="E243" s="97">
        <v>1298</v>
      </c>
      <c r="F243" s="21">
        <f t="shared" si="29"/>
        <v>1298</v>
      </c>
      <c r="G243" s="21"/>
      <c r="H243" s="21"/>
    </row>
    <row r="244" spans="1:8">
      <c r="A244" s="37"/>
      <c r="B244" s="95" t="s">
        <v>585</v>
      </c>
      <c r="C244" s="87"/>
      <c r="D244" s="96">
        <v>1</v>
      </c>
      <c r="E244" s="98">
        <v>900</v>
      </c>
      <c r="F244" s="21">
        <f t="shared" si="29"/>
        <v>900</v>
      </c>
      <c r="G244" s="21"/>
      <c r="H244" s="21"/>
    </row>
    <row r="245" spans="1:8">
      <c r="A245" s="37"/>
      <c r="B245" s="95" t="s">
        <v>598</v>
      </c>
      <c r="C245" s="87"/>
      <c r="D245" s="96">
        <v>2</v>
      </c>
      <c r="E245" s="98">
        <v>545</v>
      </c>
      <c r="F245" s="21">
        <f t="shared" si="29"/>
        <v>1090</v>
      </c>
      <c r="G245" s="21"/>
      <c r="H245" s="21"/>
    </row>
    <row r="246" spans="1:8">
      <c r="A246" s="37"/>
      <c r="B246" s="95" t="s">
        <v>598</v>
      </c>
      <c r="C246" s="87"/>
      <c r="D246" s="96">
        <v>2</v>
      </c>
      <c r="E246" s="98">
        <v>400</v>
      </c>
      <c r="F246" s="21">
        <f t="shared" si="29"/>
        <v>800</v>
      </c>
      <c r="G246" s="21"/>
      <c r="H246" s="21"/>
    </row>
    <row r="247" spans="1:8">
      <c r="A247" s="37"/>
      <c r="B247" s="95" t="s">
        <v>598</v>
      </c>
      <c r="C247" s="87"/>
      <c r="D247" s="96">
        <v>2</v>
      </c>
      <c r="E247" s="98">
        <v>310</v>
      </c>
      <c r="F247" s="21">
        <f t="shared" si="29"/>
        <v>620</v>
      </c>
      <c r="G247" s="21"/>
      <c r="H247" s="21"/>
    </row>
    <row r="248" spans="1:8">
      <c r="A248" s="37"/>
      <c r="B248" s="95" t="s">
        <v>598</v>
      </c>
      <c r="C248" s="87"/>
      <c r="D248" s="96">
        <v>2</v>
      </c>
      <c r="E248" s="98">
        <v>300</v>
      </c>
      <c r="F248" s="21">
        <f t="shared" si="29"/>
        <v>600</v>
      </c>
      <c r="G248" s="21"/>
      <c r="H248" s="21"/>
    </row>
    <row r="249" ht="22.5" spans="1:8">
      <c r="A249" s="37"/>
      <c r="B249" s="95" t="s">
        <v>599</v>
      </c>
      <c r="C249" s="87"/>
      <c r="D249" s="96">
        <v>1</v>
      </c>
      <c r="E249" s="98">
        <v>168</v>
      </c>
      <c r="F249" s="21">
        <f t="shared" si="29"/>
        <v>168</v>
      </c>
      <c r="G249" s="21"/>
      <c r="H249" s="21"/>
    </row>
    <row r="250" spans="1:8">
      <c r="A250" s="37"/>
      <c r="B250" s="95" t="s">
        <v>600</v>
      </c>
      <c r="C250" s="87"/>
      <c r="D250" s="96">
        <v>1</v>
      </c>
      <c r="E250" s="98">
        <v>504</v>
      </c>
      <c r="F250" s="21">
        <f t="shared" si="29"/>
        <v>504</v>
      </c>
      <c r="G250" s="21"/>
      <c r="H250" s="21"/>
    </row>
    <row r="251" spans="1:8">
      <c r="A251" s="37"/>
      <c r="B251" s="95" t="s">
        <v>601</v>
      </c>
      <c r="C251" s="87"/>
      <c r="D251" s="96">
        <v>1</v>
      </c>
      <c r="E251" s="98">
        <v>540</v>
      </c>
      <c r="F251" s="21">
        <f t="shared" si="29"/>
        <v>540</v>
      </c>
      <c r="G251" s="21"/>
      <c r="H251" s="21"/>
    </row>
    <row r="252" spans="1:8">
      <c r="A252" s="37"/>
      <c r="B252" s="95" t="s">
        <v>602</v>
      </c>
      <c r="C252" s="87"/>
      <c r="D252" s="96">
        <v>1</v>
      </c>
      <c r="E252" s="98">
        <v>404</v>
      </c>
      <c r="F252" s="21">
        <f t="shared" si="29"/>
        <v>404</v>
      </c>
      <c r="G252" s="21"/>
      <c r="H252" s="21"/>
    </row>
    <row r="253" spans="1:8">
      <c r="A253" s="37"/>
      <c r="B253" s="95" t="s">
        <v>602</v>
      </c>
      <c r="C253" s="87"/>
      <c r="D253" s="96">
        <v>1</v>
      </c>
      <c r="E253" s="98">
        <v>500</v>
      </c>
      <c r="F253" s="21">
        <f t="shared" si="29"/>
        <v>500</v>
      </c>
      <c r="G253" s="21"/>
      <c r="H253" s="21"/>
    </row>
    <row r="254" spans="1:8">
      <c r="A254" s="37"/>
      <c r="B254" s="95" t="s">
        <v>602</v>
      </c>
      <c r="C254" s="87"/>
      <c r="D254" s="96">
        <v>1</v>
      </c>
      <c r="E254" s="98">
        <v>390</v>
      </c>
      <c r="F254" s="21">
        <f t="shared" si="29"/>
        <v>390</v>
      </c>
      <c r="G254" s="21"/>
      <c r="H254" s="21"/>
    </row>
    <row r="255" spans="1:8">
      <c r="A255" s="37"/>
      <c r="B255" s="95" t="s">
        <v>602</v>
      </c>
      <c r="C255" s="87"/>
      <c r="D255" s="96">
        <v>1</v>
      </c>
      <c r="E255" s="98">
        <v>506</v>
      </c>
      <c r="F255" s="21">
        <f t="shared" si="29"/>
        <v>506</v>
      </c>
      <c r="G255" s="21"/>
      <c r="H255" s="21"/>
    </row>
    <row r="256" spans="1:8">
      <c r="A256" s="37"/>
      <c r="B256" s="95" t="s">
        <v>603</v>
      </c>
      <c r="C256" s="87"/>
      <c r="D256" s="96">
        <v>1</v>
      </c>
      <c r="E256" s="98">
        <v>238</v>
      </c>
      <c r="F256" s="21">
        <f t="shared" si="29"/>
        <v>238</v>
      </c>
      <c r="G256" s="21"/>
      <c r="H256" s="21"/>
    </row>
    <row r="257" ht="22.5" spans="1:8">
      <c r="A257" s="37"/>
      <c r="B257" s="95" t="s">
        <v>604</v>
      </c>
      <c r="C257" s="87"/>
      <c r="D257" s="96">
        <v>1</v>
      </c>
      <c r="E257" s="98">
        <v>80</v>
      </c>
      <c r="F257" s="21">
        <f t="shared" si="29"/>
        <v>80</v>
      </c>
      <c r="G257" s="21"/>
      <c r="H257" s="21"/>
    </row>
    <row r="258" ht="22.5" spans="1:8">
      <c r="A258" s="37"/>
      <c r="B258" s="95" t="s">
        <v>605</v>
      </c>
      <c r="C258" s="87"/>
      <c r="D258" s="96">
        <v>1</v>
      </c>
      <c r="E258" s="98">
        <v>404</v>
      </c>
      <c r="F258" s="21">
        <f t="shared" si="29"/>
        <v>404</v>
      </c>
      <c r="G258" s="21"/>
      <c r="H258" s="21"/>
    </row>
    <row r="259" spans="1:8">
      <c r="A259" s="37"/>
      <c r="B259" s="95" t="s">
        <v>606</v>
      </c>
      <c r="C259" s="87"/>
      <c r="D259" s="96">
        <v>3</v>
      </c>
      <c r="E259" s="98">
        <v>190</v>
      </c>
      <c r="F259" s="21">
        <f t="shared" si="29"/>
        <v>570</v>
      </c>
      <c r="G259" s="21"/>
      <c r="H259" s="21"/>
    </row>
    <row r="260" spans="1:8">
      <c r="A260" s="37"/>
      <c r="B260" s="95" t="s">
        <v>607</v>
      </c>
      <c r="C260" s="87"/>
      <c r="D260" s="96">
        <v>1</v>
      </c>
      <c r="E260" s="98">
        <v>676</v>
      </c>
      <c r="F260" s="21">
        <f t="shared" si="29"/>
        <v>676</v>
      </c>
      <c r="G260" s="21"/>
      <c r="H260" s="21"/>
    </row>
    <row r="261" spans="1:8">
      <c r="A261" s="37"/>
      <c r="B261" s="95" t="s">
        <v>607</v>
      </c>
      <c r="C261" s="87"/>
      <c r="D261" s="96">
        <v>1</v>
      </c>
      <c r="E261" s="98">
        <v>744</v>
      </c>
      <c r="F261" s="21">
        <f t="shared" si="29"/>
        <v>744</v>
      </c>
      <c r="G261" s="21"/>
      <c r="H261" s="21"/>
    </row>
    <row r="262" spans="1:8">
      <c r="A262" s="37"/>
      <c r="B262" s="95" t="s">
        <v>607</v>
      </c>
      <c r="C262" s="87"/>
      <c r="D262" s="96">
        <v>1</v>
      </c>
      <c r="E262" s="97">
        <v>1320</v>
      </c>
      <c r="F262" s="21">
        <f t="shared" si="29"/>
        <v>1320</v>
      </c>
      <c r="G262" s="21"/>
      <c r="H262" s="21"/>
    </row>
    <row r="263" spans="1:8">
      <c r="A263" s="37"/>
      <c r="B263" s="95" t="s">
        <v>607</v>
      </c>
      <c r="C263" s="87"/>
      <c r="D263" s="96">
        <v>1</v>
      </c>
      <c r="E263" s="98">
        <v>576</v>
      </c>
      <c r="F263" s="21">
        <f t="shared" si="29"/>
        <v>576</v>
      </c>
      <c r="G263" s="21"/>
      <c r="H263" s="21"/>
    </row>
    <row r="264" spans="1:8">
      <c r="A264" s="37"/>
      <c r="B264" s="95" t="s">
        <v>607</v>
      </c>
      <c r="C264" s="87"/>
      <c r="D264" s="96">
        <v>1</v>
      </c>
      <c r="E264" s="98">
        <v>564</v>
      </c>
      <c r="F264" s="21">
        <f t="shared" si="29"/>
        <v>564</v>
      </c>
      <c r="G264" s="21"/>
      <c r="H264" s="21"/>
    </row>
    <row r="265" spans="1:8">
      <c r="A265" s="37"/>
      <c r="B265" s="95" t="s">
        <v>608</v>
      </c>
      <c r="C265" s="87"/>
      <c r="D265" s="96">
        <v>1</v>
      </c>
      <c r="E265" s="98">
        <v>945</v>
      </c>
      <c r="F265" s="21">
        <f t="shared" si="29"/>
        <v>945</v>
      </c>
      <c r="G265" s="21"/>
      <c r="H265" s="21"/>
    </row>
    <row r="266" spans="1:8">
      <c r="A266" s="37"/>
      <c r="B266" s="95" t="s">
        <v>601</v>
      </c>
      <c r="C266" s="87"/>
      <c r="D266" s="96">
        <v>2</v>
      </c>
      <c r="E266" s="98">
        <v>200</v>
      </c>
      <c r="F266" s="21">
        <f t="shared" si="29"/>
        <v>400</v>
      </c>
      <c r="G266" s="21"/>
      <c r="H266" s="21"/>
    </row>
    <row r="267" spans="1:8">
      <c r="A267" s="37"/>
      <c r="B267" s="95" t="s">
        <v>609</v>
      </c>
      <c r="C267" s="87"/>
      <c r="D267" s="96">
        <v>1</v>
      </c>
      <c r="E267" s="98">
        <v>220</v>
      </c>
      <c r="F267" s="21">
        <f t="shared" si="29"/>
        <v>220</v>
      </c>
      <c r="G267" s="21"/>
      <c r="H267" s="21"/>
    </row>
    <row r="268" spans="1:8">
      <c r="A268" s="37"/>
      <c r="B268" s="95" t="s">
        <v>610</v>
      </c>
      <c r="C268" s="87"/>
      <c r="D268" s="96">
        <v>1</v>
      </c>
      <c r="E268" s="98">
        <v>764</v>
      </c>
      <c r="F268" s="21">
        <f t="shared" si="29"/>
        <v>764</v>
      </c>
      <c r="G268" s="21"/>
      <c r="H268" s="21"/>
    </row>
    <row r="269" spans="1:8">
      <c r="A269" s="37"/>
      <c r="B269" s="95" t="s">
        <v>611</v>
      </c>
      <c r="C269" s="87"/>
      <c r="D269" s="96">
        <v>3</v>
      </c>
      <c r="E269" s="98">
        <v>280</v>
      </c>
      <c r="F269" s="21">
        <f t="shared" si="29"/>
        <v>840</v>
      </c>
      <c r="G269" s="21"/>
      <c r="H269" s="21"/>
    </row>
    <row r="270" spans="1:8">
      <c r="A270" s="37"/>
      <c r="B270" s="95" t="s">
        <v>612</v>
      </c>
      <c r="C270" s="87"/>
      <c r="D270" s="96">
        <v>1</v>
      </c>
      <c r="E270" s="98">
        <v>360</v>
      </c>
      <c r="F270" s="21">
        <f t="shared" si="29"/>
        <v>360</v>
      </c>
      <c r="G270" s="21"/>
      <c r="H270" s="21"/>
    </row>
    <row r="271" spans="1:8">
      <c r="A271" s="37"/>
      <c r="B271" s="95" t="s">
        <v>613</v>
      </c>
      <c r="C271" s="87"/>
      <c r="D271" s="96">
        <v>1</v>
      </c>
      <c r="E271" s="98">
        <v>165</v>
      </c>
      <c r="F271" s="21">
        <f t="shared" si="29"/>
        <v>165</v>
      </c>
      <c r="G271" s="21"/>
      <c r="H271" s="21"/>
    </row>
    <row r="272" spans="1:8">
      <c r="A272" s="37"/>
      <c r="B272" s="95" t="s">
        <v>614</v>
      </c>
      <c r="C272" s="87"/>
      <c r="D272" s="96">
        <v>1</v>
      </c>
      <c r="E272" s="98">
        <v>774</v>
      </c>
      <c r="F272" s="21">
        <f t="shared" si="29"/>
        <v>774</v>
      </c>
      <c r="G272" s="21"/>
      <c r="H272" s="21"/>
    </row>
    <row r="273" spans="1:8">
      <c r="A273" s="37"/>
      <c r="B273" s="95" t="s">
        <v>615</v>
      </c>
      <c r="C273" s="87"/>
      <c r="D273" s="96">
        <v>3</v>
      </c>
      <c r="E273" s="98">
        <v>315</v>
      </c>
      <c r="F273" s="21">
        <f t="shared" si="29"/>
        <v>945</v>
      </c>
      <c r="G273" s="21"/>
      <c r="H273" s="21"/>
    </row>
    <row r="274" spans="1:8">
      <c r="A274" s="37"/>
      <c r="B274" s="95" t="s">
        <v>616</v>
      </c>
      <c r="C274" s="87"/>
      <c r="D274" s="96">
        <v>5</v>
      </c>
      <c r="E274" s="98">
        <v>210</v>
      </c>
      <c r="F274" s="21">
        <f t="shared" si="29"/>
        <v>1050</v>
      </c>
      <c r="G274" s="21"/>
      <c r="H274" s="21"/>
    </row>
    <row r="275" spans="1:8">
      <c r="A275" s="37"/>
      <c r="B275" s="95" t="s">
        <v>617</v>
      </c>
      <c r="C275" s="87"/>
      <c r="D275" s="96">
        <v>1</v>
      </c>
      <c r="E275" s="98">
        <v>606</v>
      </c>
      <c r="F275" s="21">
        <f t="shared" si="29"/>
        <v>606</v>
      </c>
      <c r="G275" s="21"/>
      <c r="H275" s="21"/>
    </row>
    <row r="276" spans="1:8">
      <c r="A276" s="37"/>
      <c r="B276" s="95" t="s">
        <v>618</v>
      </c>
      <c r="C276" s="87"/>
      <c r="D276" s="96">
        <v>1</v>
      </c>
      <c r="E276" s="98">
        <v>250</v>
      </c>
      <c r="F276" s="21">
        <f t="shared" si="29"/>
        <v>250</v>
      </c>
      <c r="G276" s="21"/>
      <c r="H276" s="21"/>
    </row>
    <row r="277" spans="1:8">
      <c r="A277" s="37"/>
      <c r="B277" s="95" t="s">
        <v>585</v>
      </c>
      <c r="C277" s="87"/>
      <c r="D277" s="96">
        <v>1</v>
      </c>
      <c r="E277" s="98">
        <v>258</v>
      </c>
      <c r="F277" s="21">
        <f t="shared" si="29"/>
        <v>258</v>
      </c>
      <c r="G277" s="21"/>
      <c r="H277" s="21"/>
    </row>
    <row r="278" spans="1:8">
      <c r="A278" s="37"/>
      <c r="B278" s="95" t="s">
        <v>619</v>
      </c>
      <c r="C278" s="87"/>
      <c r="D278" s="96">
        <v>1</v>
      </c>
      <c r="E278" s="98">
        <v>460</v>
      </c>
      <c r="F278" s="21">
        <f t="shared" si="29"/>
        <v>460</v>
      </c>
      <c r="G278" s="21"/>
      <c r="H278" s="21"/>
    </row>
    <row r="279" spans="1:8">
      <c r="A279" s="37"/>
      <c r="B279" s="95" t="s">
        <v>593</v>
      </c>
      <c r="C279" s="87"/>
      <c r="D279" s="96">
        <v>1</v>
      </c>
      <c r="E279" s="98">
        <v>575</v>
      </c>
      <c r="F279" s="21">
        <f t="shared" si="29"/>
        <v>575</v>
      </c>
      <c r="G279" s="21"/>
      <c r="H279" s="21"/>
    </row>
    <row r="280" spans="1:8">
      <c r="A280" s="37"/>
      <c r="B280" s="95" t="s">
        <v>598</v>
      </c>
      <c r="C280" s="87"/>
      <c r="D280" s="96">
        <v>1</v>
      </c>
      <c r="E280" s="98">
        <v>302</v>
      </c>
      <c r="F280" s="21">
        <f t="shared" si="29"/>
        <v>302</v>
      </c>
      <c r="G280" s="21"/>
      <c r="H280" s="21"/>
    </row>
    <row r="281" spans="1:8">
      <c r="A281" s="37"/>
      <c r="B281" s="95" t="s">
        <v>598</v>
      </c>
      <c r="C281" s="87"/>
      <c r="D281" s="96">
        <v>1</v>
      </c>
      <c r="E281" s="98">
        <v>288</v>
      </c>
      <c r="F281" s="21">
        <f t="shared" si="29"/>
        <v>288</v>
      </c>
      <c r="G281" s="21"/>
      <c r="H281" s="21"/>
    </row>
    <row r="282" spans="1:8">
      <c r="A282" s="37"/>
      <c r="B282" s="95" t="s">
        <v>598</v>
      </c>
      <c r="C282" s="87"/>
      <c r="D282" s="96">
        <v>1</v>
      </c>
      <c r="E282" s="98">
        <v>270</v>
      </c>
      <c r="F282" s="21">
        <f t="shared" si="29"/>
        <v>270</v>
      </c>
      <c r="G282" s="21"/>
      <c r="H282" s="21"/>
    </row>
    <row r="283" spans="1:8">
      <c r="A283" s="37"/>
      <c r="B283" s="95" t="s">
        <v>598</v>
      </c>
      <c r="C283" s="87"/>
      <c r="D283" s="96">
        <v>2</v>
      </c>
      <c r="E283" s="98">
        <v>272</v>
      </c>
      <c r="F283" s="21">
        <f t="shared" si="29"/>
        <v>544</v>
      </c>
      <c r="G283" s="21"/>
      <c r="H283" s="21"/>
    </row>
    <row r="284" spans="1:8">
      <c r="A284" s="37"/>
      <c r="B284" s="95" t="s">
        <v>598</v>
      </c>
      <c r="C284" s="87"/>
      <c r="D284" s="96">
        <v>1</v>
      </c>
      <c r="E284" s="98">
        <v>208</v>
      </c>
      <c r="F284" s="21">
        <f t="shared" si="29"/>
        <v>208</v>
      </c>
      <c r="G284" s="21"/>
      <c r="H284" s="21"/>
    </row>
    <row r="285" spans="1:8">
      <c r="A285" s="37"/>
      <c r="B285" s="95" t="s">
        <v>598</v>
      </c>
      <c r="C285" s="87"/>
      <c r="D285" s="96">
        <v>1</v>
      </c>
      <c r="E285" s="98">
        <v>245</v>
      </c>
      <c r="F285" s="21">
        <f t="shared" si="29"/>
        <v>245</v>
      </c>
      <c r="G285" s="21"/>
      <c r="H285" s="21"/>
    </row>
    <row r="286" spans="1:8">
      <c r="A286" s="37"/>
      <c r="B286" s="95" t="s">
        <v>598</v>
      </c>
      <c r="C286" s="87"/>
      <c r="D286" s="96">
        <v>1</v>
      </c>
      <c r="E286" s="98">
        <v>270</v>
      </c>
      <c r="F286" s="21">
        <f t="shared" si="29"/>
        <v>270</v>
      </c>
      <c r="G286" s="21"/>
      <c r="H286" s="21"/>
    </row>
    <row r="287" spans="1:8">
      <c r="A287" s="37"/>
      <c r="B287" s="95" t="s">
        <v>620</v>
      </c>
      <c r="C287" s="87"/>
      <c r="D287" s="96">
        <v>11</v>
      </c>
      <c r="E287" s="98">
        <v>580</v>
      </c>
      <c r="F287" s="21">
        <f t="shared" si="29"/>
        <v>6380</v>
      </c>
      <c r="G287" s="21"/>
      <c r="H287" s="21"/>
    </row>
    <row r="288" spans="1:8">
      <c r="A288" s="37"/>
      <c r="B288" s="95" t="s">
        <v>621</v>
      </c>
      <c r="C288" s="87"/>
      <c r="D288" s="96">
        <v>10</v>
      </c>
      <c r="E288" s="98">
        <v>598</v>
      </c>
      <c r="F288" s="21">
        <f t="shared" si="29"/>
        <v>5980</v>
      </c>
      <c r="G288" s="21"/>
      <c r="H288" s="21"/>
    </row>
    <row r="289" ht="30" customHeight="1" spans="1:15">
      <c r="A289" s="94">
        <v>3</v>
      </c>
      <c r="B289" s="100" t="s">
        <v>622</v>
      </c>
      <c r="C289" s="101"/>
      <c r="D289" s="87"/>
      <c r="E289" s="21"/>
      <c r="F289" s="21">
        <f>SUM(F290:F516)</f>
        <v>72000</v>
      </c>
      <c r="G289" s="21"/>
      <c r="H289" s="21"/>
      <c r="O289" s="63"/>
    </row>
    <row r="290" spans="1:8">
      <c r="A290" s="37"/>
      <c r="B290" s="95" t="s">
        <v>623</v>
      </c>
      <c r="C290" s="87"/>
      <c r="D290" s="96">
        <v>1</v>
      </c>
      <c r="E290" s="98">
        <v>559.8</v>
      </c>
      <c r="F290" s="21">
        <f t="shared" si="29"/>
        <v>559.8</v>
      </c>
      <c r="G290" s="21"/>
      <c r="H290" s="21"/>
    </row>
    <row r="291" spans="1:8">
      <c r="A291" s="37"/>
      <c r="B291" s="95" t="s">
        <v>608</v>
      </c>
      <c r="C291" s="87"/>
      <c r="D291" s="96">
        <v>1</v>
      </c>
      <c r="E291" s="98">
        <v>627.3</v>
      </c>
      <c r="F291" s="21">
        <f t="shared" si="29"/>
        <v>627.3</v>
      </c>
      <c r="G291" s="21"/>
      <c r="H291" s="21"/>
    </row>
    <row r="292" spans="1:8">
      <c r="A292" s="37"/>
      <c r="B292" s="95" t="s">
        <v>624</v>
      </c>
      <c r="C292" s="87"/>
      <c r="D292" s="96">
        <v>1</v>
      </c>
      <c r="E292" s="98">
        <v>926.1</v>
      </c>
      <c r="F292" s="21">
        <f t="shared" si="29"/>
        <v>926.1</v>
      </c>
      <c r="G292" s="21"/>
      <c r="H292" s="21"/>
    </row>
    <row r="293" spans="1:8">
      <c r="A293" s="37"/>
      <c r="B293" s="95" t="s">
        <v>625</v>
      </c>
      <c r="C293" s="87"/>
      <c r="D293" s="96">
        <v>1</v>
      </c>
      <c r="E293" s="98">
        <v>397.8</v>
      </c>
      <c r="F293" s="21">
        <f t="shared" si="29"/>
        <v>397.8</v>
      </c>
      <c r="G293" s="21"/>
      <c r="H293" s="21"/>
    </row>
    <row r="294" spans="1:8">
      <c r="A294" s="37"/>
      <c r="B294" s="95" t="s">
        <v>598</v>
      </c>
      <c r="C294" s="87"/>
      <c r="D294" s="96">
        <v>1</v>
      </c>
      <c r="E294" s="98">
        <v>213.3</v>
      </c>
      <c r="F294" s="21">
        <f t="shared" si="29"/>
        <v>213.3</v>
      </c>
      <c r="G294" s="21"/>
      <c r="H294" s="21"/>
    </row>
    <row r="295" spans="1:8">
      <c r="A295" s="37"/>
      <c r="B295" s="95" t="s">
        <v>585</v>
      </c>
      <c r="C295" s="87"/>
      <c r="D295" s="96">
        <v>1</v>
      </c>
      <c r="E295" s="98">
        <v>360</v>
      </c>
      <c r="F295" s="21">
        <f t="shared" si="29"/>
        <v>360</v>
      </c>
      <c r="G295" s="21"/>
      <c r="H295" s="21"/>
    </row>
    <row r="296" spans="1:8">
      <c r="A296" s="37"/>
      <c r="B296" s="95" t="s">
        <v>598</v>
      </c>
      <c r="C296" s="87"/>
      <c r="D296" s="96">
        <v>1</v>
      </c>
      <c r="E296" s="98">
        <v>247.9</v>
      </c>
      <c r="F296" s="21">
        <f t="shared" si="29"/>
        <v>247.9</v>
      </c>
      <c r="G296" s="21"/>
      <c r="H296" s="21"/>
    </row>
    <row r="297" spans="1:8">
      <c r="A297" s="37"/>
      <c r="B297" s="95" t="s">
        <v>598</v>
      </c>
      <c r="C297" s="87"/>
      <c r="D297" s="96">
        <v>1</v>
      </c>
      <c r="E297" s="98">
        <v>241</v>
      </c>
      <c r="F297" s="21">
        <f t="shared" si="29"/>
        <v>241</v>
      </c>
      <c r="G297" s="21"/>
      <c r="H297" s="21"/>
    </row>
    <row r="298" spans="1:8">
      <c r="A298" s="37"/>
      <c r="B298" s="95" t="s">
        <v>615</v>
      </c>
      <c r="C298" s="87"/>
      <c r="D298" s="96">
        <v>1</v>
      </c>
      <c r="E298" s="98">
        <v>30.6</v>
      </c>
      <c r="F298" s="21">
        <f t="shared" si="29"/>
        <v>30.6</v>
      </c>
      <c r="G298" s="21"/>
      <c r="H298" s="21"/>
    </row>
    <row r="299" spans="1:8">
      <c r="A299" s="37"/>
      <c r="B299" s="95" t="s">
        <v>626</v>
      </c>
      <c r="C299" s="87"/>
      <c r="D299" s="96">
        <v>2</v>
      </c>
      <c r="E299" s="98">
        <v>378.9</v>
      </c>
      <c r="F299" s="21">
        <f t="shared" si="29"/>
        <v>757.8</v>
      </c>
      <c r="G299" s="21"/>
      <c r="H299" s="21"/>
    </row>
    <row r="300" spans="1:8">
      <c r="A300" s="37"/>
      <c r="B300" s="95" t="s">
        <v>600</v>
      </c>
      <c r="C300" s="87"/>
      <c r="D300" s="96">
        <v>2</v>
      </c>
      <c r="E300" s="98">
        <v>755.1</v>
      </c>
      <c r="F300" s="21">
        <f t="shared" si="29"/>
        <v>1510.2</v>
      </c>
      <c r="G300" s="21"/>
      <c r="H300" s="21"/>
    </row>
    <row r="301" spans="1:8">
      <c r="A301" s="37"/>
      <c r="B301" s="95" t="s">
        <v>585</v>
      </c>
      <c r="C301" s="87"/>
      <c r="D301" s="96">
        <v>2</v>
      </c>
      <c r="E301" s="98">
        <v>391.5</v>
      </c>
      <c r="F301" s="21">
        <f t="shared" si="29"/>
        <v>783</v>
      </c>
      <c r="G301" s="21"/>
      <c r="H301" s="21"/>
    </row>
    <row r="302" spans="1:8">
      <c r="A302" s="37"/>
      <c r="B302" s="95" t="s">
        <v>601</v>
      </c>
      <c r="C302" s="87"/>
      <c r="D302" s="96">
        <v>2</v>
      </c>
      <c r="E302" s="98">
        <v>85.5</v>
      </c>
      <c r="F302" s="21">
        <f t="shared" si="29"/>
        <v>171</v>
      </c>
      <c r="G302" s="21"/>
      <c r="H302" s="21"/>
    </row>
    <row r="303" spans="1:8">
      <c r="A303" s="37"/>
      <c r="B303" s="95" t="s">
        <v>627</v>
      </c>
      <c r="C303" s="87"/>
      <c r="D303" s="96">
        <v>2</v>
      </c>
      <c r="E303" s="98">
        <v>251.1</v>
      </c>
      <c r="F303" s="21">
        <f t="shared" si="29"/>
        <v>502.2</v>
      </c>
      <c r="G303" s="21"/>
      <c r="H303" s="21"/>
    </row>
    <row r="304" spans="1:8">
      <c r="A304" s="37"/>
      <c r="B304" s="95" t="s">
        <v>623</v>
      </c>
      <c r="C304" s="87"/>
      <c r="D304" s="96">
        <v>2</v>
      </c>
      <c r="E304" s="98">
        <v>128.7</v>
      </c>
      <c r="F304" s="21">
        <f t="shared" si="29"/>
        <v>257.4</v>
      </c>
      <c r="G304" s="21"/>
      <c r="H304" s="21"/>
    </row>
    <row r="305" s="7" customFormat="1" spans="1:8">
      <c r="A305" s="37"/>
      <c r="B305" s="95" t="s">
        <v>626</v>
      </c>
      <c r="C305" s="87"/>
      <c r="D305" s="96">
        <v>3</v>
      </c>
      <c r="E305" s="98">
        <v>149.4</v>
      </c>
      <c r="F305" s="21">
        <f t="shared" si="29"/>
        <v>448.2</v>
      </c>
      <c r="G305" s="21"/>
      <c r="H305" s="21"/>
    </row>
    <row r="306" s="7" customFormat="1" spans="1:8">
      <c r="A306" s="37"/>
      <c r="B306" s="95" t="s">
        <v>608</v>
      </c>
      <c r="C306" s="87"/>
      <c r="D306" s="96">
        <v>2</v>
      </c>
      <c r="E306" s="98">
        <v>66.6</v>
      </c>
      <c r="F306" s="21">
        <f t="shared" si="29"/>
        <v>133.2</v>
      </c>
      <c r="G306" s="21"/>
      <c r="H306" s="21"/>
    </row>
    <row r="307" s="7" customFormat="1" spans="1:8">
      <c r="A307" s="37"/>
      <c r="B307" s="95" t="s">
        <v>623</v>
      </c>
      <c r="C307" s="87"/>
      <c r="D307" s="96">
        <v>4</v>
      </c>
      <c r="E307" s="98">
        <v>74.7</v>
      </c>
      <c r="F307" s="21">
        <f t="shared" si="29"/>
        <v>298.8</v>
      </c>
      <c r="G307" s="21"/>
      <c r="H307" s="21"/>
    </row>
    <row r="308" s="7" customFormat="1" spans="1:8">
      <c r="A308" s="37"/>
      <c r="B308" s="95" t="s">
        <v>628</v>
      </c>
      <c r="C308" s="87"/>
      <c r="D308" s="96">
        <v>2</v>
      </c>
      <c r="E308" s="98">
        <v>101.7</v>
      </c>
      <c r="F308" s="21">
        <f t="shared" si="29"/>
        <v>203.4</v>
      </c>
      <c r="G308" s="21"/>
      <c r="H308" s="21"/>
    </row>
    <row r="309" s="7" customFormat="1" spans="1:8">
      <c r="A309" s="37"/>
      <c r="B309" s="95" t="s">
        <v>601</v>
      </c>
      <c r="C309" s="87"/>
      <c r="D309" s="96">
        <v>2</v>
      </c>
      <c r="E309" s="98">
        <v>278.1</v>
      </c>
      <c r="F309" s="21">
        <f t="shared" si="29"/>
        <v>556.2</v>
      </c>
      <c r="G309" s="21"/>
      <c r="H309" s="21"/>
    </row>
    <row r="310" s="7" customFormat="1" spans="1:8">
      <c r="A310" s="37"/>
      <c r="B310" s="95" t="s">
        <v>624</v>
      </c>
      <c r="C310" s="87"/>
      <c r="D310" s="96">
        <v>1</v>
      </c>
      <c r="E310" s="98">
        <v>524.7</v>
      </c>
      <c r="F310" s="21">
        <f t="shared" si="29"/>
        <v>524.7</v>
      </c>
      <c r="G310" s="21"/>
      <c r="H310" s="21"/>
    </row>
    <row r="311" s="7" customFormat="1" ht="22.5" spans="1:8">
      <c r="A311" s="37"/>
      <c r="B311" s="95" t="s">
        <v>629</v>
      </c>
      <c r="C311" s="87"/>
      <c r="D311" s="96">
        <v>1</v>
      </c>
      <c r="E311" s="98">
        <v>418.5</v>
      </c>
      <c r="F311" s="21">
        <f t="shared" si="29"/>
        <v>418.5</v>
      </c>
      <c r="G311" s="21"/>
      <c r="H311" s="21"/>
    </row>
    <row r="312" s="7" customFormat="1" spans="1:8">
      <c r="A312" s="37"/>
      <c r="B312" s="95" t="s">
        <v>600</v>
      </c>
      <c r="C312" s="87"/>
      <c r="D312" s="96">
        <v>1</v>
      </c>
      <c r="E312" s="98">
        <v>549</v>
      </c>
      <c r="F312" s="21">
        <f t="shared" si="29"/>
        <v>549</v>
      </c>
      <c r="G312" s="21"/>
      <c r="H312" s="21"/>
    </row>
    <row r="313" s="7" customFormat="1" spans="1:8">
      <c r="A313" s="37"/>
      <c r="B313" s="95" t="s">
        <v>630</v>
      </c>
      <c r="C313" s="87"/>
      <c r="D313" s="96">
        <v>1</v>
      </c>
      <c r="E313" s="98">
        <v>865.8</v>
      </c>
      <c r="F313" s="21">
        <f t="shared" si="29"/>
        <v>865.8</v>
      </c>
      <c r="G313" s="21"/>
      <c r="H313" s="21"/>
    </row>
    <row r="314" s="7" customFormat="1" ht="22.5" spans="1:8">
      <c r="A314" s="37"/>
      <c r="B314" s="95" t="s">
        <v>629</v>
      </c>
      <c r="C314" s="87"/>
      <c r="D314" s="96">
        <v>1</v>
      </c>
      <c r="E314" s="98">
        <v>302.4</v>
      </c>
      <c r="F314" s="21">
        <f t="shared" si="29"/>
        <v>302.4</v>
      </c>
      <c r="G314" s="21"/>
      <c r="H314" s="21"/>
    </row>
    <row r="315" s="7" customFormat="1" spans="1:8">
      <c r="A315" s="37"/>
      <c r="B315" s="95" t="s">
        <v>631</v>
      </c>
      <c r="C315" s="87"/>
      <c r="D315" s="96">
        <v>1</v>
      </c>
      <c r="E315" s="98">
        <v>273.6</v>
      </c>
      <c r="F315" s="21">
        <f t="shared" si="29"/>
        <v>273.6</v>
      </c>
      <c r="G315" s="21"/>
      <c r="H315" s="21"/>
    </row>
    <row r="316" s="7" customFormat="1" spans="1:8">
      <c r="A316" s="37"/>
      <c r="B316" s="95" t="s">
        <v>606</v>
      </c>
      <c r="C316" s="87"/>
      <c r="D316" s="96">
        <v>1</v>
      </c>
      <c r="E316" s="98">
        <v>198.9</v>
      </c>
      <c r="F316" s="21">
        <f t="shared" si="29"/>
        <v>198.9</v>
      </c>
      <c r="G316" s="21"/>
      <c r="H316" s="21"/>
    </row>
    <row r="317" s="7" customFormat="1" spans="1:8">
      <c r="A317" s="37"/>
      <c r="B317" s="95" t="s">
        <v>625</v>
      </c>
      <c r="C317" s="87"/>
      <c r="D317" s="96">
        <v>2</v>
      </c>
      <c r="E317" s="98">
        <v>159.3</v>
      </c>
      <c r="F317" s="21">
        <f t="shared" si="29"/>
        <v>318.6</v>
      </c>
      <c r="G317" s="21"/>
      <c r="H317" s="21"/>
    </row>
    <row r="318" s="7" customFormat="1" spans="1:8">
      <c r="A318" s="37"/>
      <c r="B318" s="95" t="s">
        <v>601</v>
      </c>
      <c r="C318" s="87"/>
      <c r="D318" s="96">
        <v>1</v>
      </c>
      <c r="E318" s="98">
        <v>143.1</v>
      </c>
      <c r="F318" s="21">
        <f t="shared" si="29"/>
        <v>143.1</v>
      </c>
      <c r="G318" s="21"/>
      <c r="H318" s="21"/>
    </row>
    <row r="319" s="7" customFormat="1" spans="1:8">
      <c r="A319" s="37"/>
      <c r="B319" s="95" t="s">
        <v>617</v>
      </c>
      <c r="C319" s="87"/>
      <c r="D319" s="96">
        <v>2</v>
      </c>
      <c r="E319" s="98">
        <v>167.4</v>
      </c>
      <c r="F319" s="21">
        <f t="shared" si="29"/>
        <v>334.8</v>
      </c>
      <c r="G319" s="21"/>
      <c r="H319" s="21"/>
    </row>
    <row r="320" s="7" customFormat="1" spans="1:8">
      <c r="A320" s="37"/>
      <c r="B320" s="95" t="s">
        <v>621</v>
      </c>
      <c r="C320" s="87"/>
      <c r="D320" s="96">
        <v>1</v>
      </c>
      <c r="E320" s="97">
        <v>1287.9</v>
      </c>
      <c r="F320" s="21">
        <f t="shared" si="29"/>
        <v>1287.9</v>
      </c>
      <c r="G320" s="21"/>
      <c r="H320" s="21"/>
    </row>
    <row r="321" s="7" customFormat="1" ht="22.5" spans="1:8">
      <c r="A321" s="37"/>
      <c r="B321" s="95" t="s">
        <v>629</v>
      </c>
      <c r="C321" s="87"/>
      <c r="D321" s="96">
        <v>1</v>
      </c>
      <c r="E321" s="98">
        <v>338.4</v>
      </c>
      <c r="F321" s="21">
        <f t="shared" si="29"/>
        <v>338.4</v>
      </c>
      <c r="G321" s="21"/>
      <c r="H321" s="21"/>
    </row>
    <row r="322" s="7" customFormat="1" spans="1:8">
      <c r="A322" s="37"/>
      <c r="B322" s="95" t="s">
        <v>632</v>
      </c>
      <c r="C322" s="87"/>
      <c r="D322" s="96">
        <v>1</v>
      </c>
      <c r="E322" s="98">
        <v>162.9</v>
      </c>
      <c r="F322" s="21">
        <f t="shared" si="29"/>
        <v>162.9</v>
      </c>
      <c r="G322" s="21"/>
      <c r="H322" s="21"/>
    </row>
    <row r="323" s="7" customFormat="1" spans="1:8">
      <c r="A323" s="37"/>
      <c r="B323" s="95" t="s">
        <v>632</v>
      </c>
      <c r="C323" s="87"/>
      <c r="D323" s="96">
        <v>1</v>
      </c>
      <c r="E323" s="98">
        <v>111.6</v>
      </c>
      <c r="F323" s="21">
        <f t="shared" si="29"/>
        <v>111.6</v>
      </c>
      <c r="G323" s="21"/>
      <c r="H323" s="21"/>
    </row>
    <row r="324" s="7" customFormat="1" spans="1:8">
      <c r="A324" s="37"/>
      <c r="B324" s="95" t="s">
        <v>633</v>
      </c>
      <c r="C324" s="87"/>
      <c r="D324" s="96">
        <v>2</v>
      </c>
      <c r="E324" s="98">
        <v>143.1</v>
      </c>
      <c r="F324" s="21">
        <f t="shared" si="29"/>
        <v>286.2</v>
      </c>
      <c r="G324" s="21"/>
      <c r="H324" s="21"/>
    </row>
    <row r="325" s="7" customFormat="1" spans="1:8">
      <c r="A325" s="37"/>
      <c r="B325" s="95" t="s">
        <v>633</v>
      </c>
      <c r="C325" s="87"/>
      <c r="D325" s="96">
        <v>2</v>
      </c>
      <c r="E325" s="98">
        <v>162</v>
      </c>
      <c r="F325" s="21">
        <f t="shared" si="29"/>
        <v>324</v>
      </c>
      <c r="G325" s="21"/>
      <c r="H325" s="21"/>
    </row>
    <row r="326" s="7" customFormat="1" spans="1:8">
      <c r="A326" s="37"/>
      <c r="B326" s="95" t="s">
        <v>626</v>
      </c>
      <c r="C326" s="87"/>
      <c r="D326" s="96">
        <v>1</v>
      </c>
      <c r="E326" s="98">
        <v>143.1</v>
      </c>
      <c r="F326" s="21">
        <f t="shared" si="29"/>
        <v>143.1</v>
      </c>
      <c r="G326" s="21"/>
      <c r="H326" s="21"/>
    </row>
    <row r="327" s="7" customFormat="1" spans="1:8">
      <c r="A327" s="37"/>
      <c r="B327" s="95" t="s">
        <v>601</v>
      </c>
      <c r="C327" s="87"/>
      <c r="D327" s="96">
        <v>2</v>
      </c>
      <c r="E327" s="98">
        <v>199.8</v>
      </c>
      <c r="F327" s="21">
        <f t="shared" si="29"/>
        <v>399.6</v>
      </c>
      <c r="G327" s="21"/>
      <c r="H327" s="21"/>
    </row>
    <row r="328" s="7" customFormat="1" spans="1:8">
      <c r="A328" s="37"/>
      <c r="B328" s="95" t="s">
        <v>601</v>
      </c>
      <c r="C328" s="87"/>
      <c r="D328" s="96">
        <v>2</v>
      </c>
      <c r="E328" s="98">
        <v>170.1</v>
      </c>
      <c r="F328" s="21">
        <f t="shared" si="29"/>
        <v>340.2</v>
      </c>
      <c r="G328" s="21"/>
      <c r="H328" s="21"/>
    </row>
    <row r="329" s="7" customFormat="1" spans="1:8">
      <c r="A329" s="37"/>
      <c r="B329" s="95" t="s">
        <v>634</v>
      </c>
      <c r="C329" s="87"/>
      <c r="D329" s="96">
        <v>2</v>
      </c>
      <c r="E329" s="98">
        <v>190.8</v>
      </c>
      <c r="F329" s="21">
        <f t="shared" si="29"/>
        <v>381.6</v>
      </c>
      <c r="G329" s="21"/>
      <c r="H329" s="21"/>
    </row>
    <row r="330" s="7" customFormat="1" spans="1:8">
      <c r="A330" s="37"/>
      <c r="B330" s="95" t="s">
        <v>635</v>
      </c>
      <c r="C330" s="87"/>
      <c r="D330" s="96">
        <v>1</v>
      </c>
      <c r="E330" s="98">
        <v>464.4</v>
      </c>
      <c r="F330" s="21">
        <f t="shared" si="29"/>
        <v>464.4</v>
      </c>
      <c r="G330" s="21"/>
      <c r="H330" s="21"/>
    </row>
    <row r="331" s="7" customFormat="1" spans="1:8">
      <c r="A331" s="37"/>
      <c r="B331" s="95" t="s">
        <v>608</v>
      </c>
      <c r="C331" s="87"/>
      <c r="D331" s="96">
        <v>1</v>
      </c>
      <c r="E331" s="98">
        <v>374.4</v>
      </c>
      <c r="F331" s="21">
        <f t="shared" si="29"/>
        <v>374.4</v>
      </c>
      <c r="G331" s="21"/>
      <c r="H331" s="21"/>
    </row>
    <row r="332" s="7" customFormat="1" spans="1:8">
      <c r="A332" s="37"/>
      <c r="B332" s="95" t="s">
        <v>626</v>
      </c>
      <c r="C332" s="87"/>
      <c r="D332" s="96">
        <v>1</v>
      </c>
      <c r="E332" s="98">
        <v>144</v>
      </c>
      <c r="F332" s="21">
        <f t="shared" si="29"/>
        <v>144</v>
      </c>
      <c r="G332" s="21"/>
      <c r="H332" s="21"/>
    </row>
    <row r="333" s="7" customFormat="1" spans="1:8">
      <c r="A333" s="37"/>
      <c r="B333" s="95" t="s">
        <v>601</v>
      </c>
      <c r="C333" s="87"/>
      <c r="D333" s="96">
        <v>1</v>
      </c>
      <c r="E333" s="98">
        <v>199.8</v>
      </c>
      <c r="F333" s="21">
        <f t="shared" si="29"/>
        <v>199.8</v>
      </c>
      <c r="G333" s="21"/>
      <c r="H333" s="21"/>
    </row>
    <row r="334" s="7" customFormat="1" spans="1:8">
      <c r="A334" s="37"/>
      <c r="B334" s="95" t="s">
        <v>632</v>
      </c>
      <c r="C334" s="87"/>
      <c r="D334" s="96">
        <v>1</v>
      </c>
      <c r="E334" s="98">
        <v>107.1</v>
      </c>
      <c r="F334" s="21">
        <f t="shared" si="29"/>
        <v>107.1</v>
      </c>
      <c r="G334" s="21"/>
      <c r="H334" s="21"/>
    </row>
    <row r="335" s="7" customFormat="1" spans="1:8">
      <c r="A335" s="37"/>
      <c r="B335" s="95" t="s">
        <v>636</v>
      </c>
      <c r="C335" s="87"/>
      <c r="D335" s="96">
        <v>1</v>
      </c>
      <c r="E335" s="98">
        <v>129.6</v>
      </c>
      <c r="F335" s="21">
        <f t="shared" si="29"/>
        <v>129.6</v>
      </c>
      <c r="G335" s="21"/>
      <c r="H335" s="21"/>
    </row>
    <row r="336" s="7" customFormat="1" spans="1:8">
      <c r="A336" s="37"/>
      <c r="B336" s="95" t="s">
        <v>637</v>
      </c>
      <c r="C336" s="87"/>
      <c r="D336" s="96">
        <v>1</v>
      </c>
      <c r="E336" s="98">
        <v>117</v>
      </c>
      <c r="F336" s="21">
        <f t="shared" si="29"/>
        <v>117</v>
      </c>
      <c r="G336" s="21"/>
      <c r="H336" s="21"/>
    </row>
    <row r="337" s="7" customFormat="1" spans="1:8">
      <c r="A337" s="37"/>
      <c r="B337" s="95" t="s">
        <v>637</v>
      </c>
      <c r="C337" s="87"/>
      <c r="D337" s="96">
        <v>1</v>
      </c>
      <c r="E337" s="98">
        <v>134.1</v>
      </c>
      <c r="F337" s="21">
        <f t="shared" si="29"/>
        <v>134.1</v>
      </c>
      <c r="G337" s="21"/>
      <c r="H337" s="21"/>
    </row>
    <row r="338" s="7" customFormat="1" spans="1:8">
      <c r="A338" s="37"/>
      <c r="B338" s="95" t="s">
        <v>637</v>
      </c>
      <c r="C338" s="87"/>
      <c r="D338" s="96">
        <v>1</v>
      </c>
      <c r="E338" s="98">
        <v>138.6</v>
      </c>
      <c r="F338" s="21">
        <f t="shared" si="29"/>
        <v>138.6</v>
      </c>
      <c r="G338" s="21"/>
      <c r="H338" s="21"/>
    </row>
    <row r="339" s="7" customFormat="1" spans="1:8">
      <c r="A339" s="37"/>
      <c r="B339" s="95" t="s">
        <v>638</v>
      </c>
      <c r="C339" s="87"/>
      <c r="D339" s="96">
        <v>1</v>
      </c>
      <c r="E339" s="98">
        <v>177.3</v>
      </c>
      <c r="F339" s="21">
        <f t="shared" si="29"/>
        <v>177.3</v>
      </c>
      <c r="G339" s="21"/>
      <c r="H339" s="21"/>
    </row>
    <row r="340" s="7" customFormat="1" spans="1:8">
      <c r="A340" s="37"/>
      <c r="B340" s="95" t="s">
        <v>639</v>
      </c>
      <c r="C340" s="87"/>
      <c r="D340" s="96">
        <v>1</v>
      </c>
      <c r="E340" s="98">
        <v>114.3</v>
      </c>
      <c r="F340" s="21">
        <f t="shared" si="29"/>
        <v>114.3</v>
      </c>
      <c r="G340" s="21"/>
      <c r="H340" s="21"/>
    </row>
    <row r="341" s="7" customFormat="1" ht="22.5" spans="1:8">
      <c r="A341" s="37"/>
      <c r="B341" s="95" t="s">
        <v>604</v>
      </c>
      <c r="C341" s="87"/>
      <c r="D341" s="96">
        <v>1</v>
      </c>
      <c r="E341" s="98">
        <v>284.4</v>
      </c>
      <c r="F341" s="21">
        <f t="shared" si="29"/>
        <v>284.4</v>
      </c>
      <c r="G341" s="21"/>
      <c r="H341" s="21"/>
    </row>
    <row r="342" s="7" customFormat="1" ht="22.5" spans="1:8">
      <c r="A342" s="37"/>
      <c r="B342" s="95" t="s">
        <v>604</v>
      </c>
      <c r="C342" s="87"/>
      <c r="D342" s="96">
        <v>1</v>
      </c>
      <c r="E342" s="98">
        <v>224.1</v>
      </c>
      <c r="F342" s="21">
        <f t="shared" si="29"/>
        <v>224.1</v>
      </c>
      <c r="G342" s="21"/>
      <c r="H342" s="21"/>
    </row>
    <row r="343" s="7" customFormat="1" spans="1:8">
      <c r="A343" s="37"/>
      <c r="B343" s="95" t="s">
        <v>633</v>
      </c>
      <c r="C343" s="87"/>
      <c r="D343" s="96">
        <v>1</v>
      </c>
      <c r="E343" s="98">
        <v>160.2</v>
      </c>
      <c r="F343" s="21">
        <f t="shared" si="29"/>
        <v>160.2</v>
      </c>
      <c r="G343" s="21"/>
      <c r="H343" s="21"/>
    </row>
    <row r="344" s="7" customFormat="1" ht="22.5" spans="1:8">
      <c r="A344" s="37"/>
      <c r="B344" s="95" t="s">
        <v>605</v>
      </c>
      <c r="C344" s="87"/>
      <c r="D344" s="96">
        <v>1</v>
      </c>
      <c r="E344" s="98">
        <v>180</v>
      </c>
      <c r="F344" s="21">
        <f t="shared" si="29"/>
        <v>180</v>
      </c>
      <c r="G344" s="21"/>
      <c r="H344" s="21"/>
    </row>
    <row r="345" s="7" customFormat="1" spans="1:8">
      <c r="A345" s="37"/>
      <c r="B345" s="95" t="s">
        <v>640</v>
      </c>
      <c r="C345" s="87"/>
      <c r="D345" s="96">
        <v>1</v>
      </c>
      <c r="E345" s="98">
        <v>144</v>
      </c>
      <c r="F345" s="21">
        <f t="shared" si="29"/>
        <v>144</v>
      </c>
      <c r="G345" s="21"/>
      <c r="H345" s="21"/>
    </row>
    <row r="346" s="7" customFormat="1" ht="22.5" spans="1:8">
      <c r="A346" s="37"/>
      <c r="B346" s="95" t="s">
        <v>605</v>
      </c>
      <c r="C346" s="87"/>
      <c r="D346" s="96">
        <v>1</v>
      </c>
      <c r="E346" s="98">
        <v>86.4</v>
      </c>
      <c r="F346" s="21">
        <f t="shared" si="29"/>
        <v>86.4</v>
      </c>
      <c r="G346" s="21"/>
      <c r="H346" s="21"/>
    </row>
    <row r="347" s="7" customFormat="1" spans="1:8">
      <c r="A347" s="37"/>
      <c r="B347" s="95" t="s">
        <v>636</v>
      </c>
      <c r="C347" s="87"/>
      <c r="D347" s="96">
        <v>1</v>
      </c>
      <c r="E347" s="98">
        <v>85.5</v>
      </c>
      <c r="F347" s="21">
        <f t="shared" si="29"/>
        <v>85.5</v>
      </c>
      <c r="G347" s="21"/>
      <c r="H347" s="21"/>
    </row>
    <row r="348" s="7" customFormat="1" spans="1:8">
      <c r="A348" s="37"/>
      <c r="B348" s="95" t="s">
        <v>641</v>
      </c>
      <c r="C348" s="87"/>
      <c r="D348" s="96">
        <v>2</v>
      </c>
      <c r="E348" s="98">
        <v>233.1</v>
      </c>
      <c r="F348" s="21">
        <f t="shared" si="29"/>
        <v>466.2</v>
      </c>
      <c r="G348" s="21"/>
      <c r="H348" s="21"/>
    </row>
    <row r="349" s="7" customFormat="1" spans="1:8">
      <c r="A349" s="37"/>
      <c r="B349" s="95" t="s">
        <v>642</v>
      </c>
      <c r="C349" s="87"/>
      <c r="D349" s="96">
        <v>1</v>
      </c>
      <c r="E349" s="98">
        <v>216.9</v>
      </c>
      <c r="F349" s="21">
        <f t="shared" si="29"/>
        <v>216.9</v>
      </c>
      <c r="G349" s="21"/>
      <c r="H349" s="21"/>
    </row>
    <row r="350" s="7" customFormat="1" spans="1:8">
      <c r="A350" s="37"/>
      <c r="B350" s="95" t="s">
        <v>585</v>
      </c>
      <c r="C350" s="87"/>
      <c r="D350" s="96">
        <v>1</v>
      </c>
      <c r="E350" s="98">
        <v>226.8</v>
      </c>
      <c r="F350" s="21">
        <f t="shared" si="29"/>
        <v>226.8</v>
      </c>
      <c r="G350" s="21"/>
      <c r="H350" s="21"/>
    </row>
    <row r="351" s="7" customFormat="1" ht="22.5" spans="1:8">
      <c r="A351" s="37"/>
      <c r="B351" s="95" t="s">
        <v>604</v>
      </c>
      <c r="C351" s="87"/>
      <c r="D351" s="96">
        <v>1</v>
      </c>
      <c r="E351" s="98">
        <v>153.9</v>
      </c>
      <c r="F351" s="21">
        <f t="shared" si="29"/>
        <v>153.9</v>
      </c>
      <c r="G351" s="21"/>
      <c r="H351" s="21"/>
    </row>
    <row r="352" s="7" customFormat="1" spans="1:8">
      <c r="A352" s="37"/>
      <c r="B352" s="95" t="s">
        <v>643</v>
      </c>
      <c r="C352" s="87"/>
      <c r="D352" s="96">
        <v>2</v>
      </c>
      <c r="E352" s="98">
        <v>160.2</v>
      </c>
      <c r="F352" s="21">
        <f t="shared" si="29"/>
        <v>320.4</v>
      </c>
      <c r="G352" s="21"/>
      <c r="H352" s="21"/>
    </row>
    <row r="353" s="7" customFormat="1" spans="1:8">
      <c r="A353" s="37"/>
      <c r="B353" s="95" t="s">
        <v>606</v>
      </c>
      <c r="C353" s="87"/>
      <c r="D353" s="96">
        <v>1</v>
      </c>
      <c r="E353" s="98">
        <v>92.7</v>
      </c>
      <c r="F353" s="21">
        <f t="shared" si="29"/>
        <v>92.7</v>
      </c>
      <c r="G353" s="21"/>
      <c r="H353" s="21"/>
    </row>
    <row r="354" s="7" customFormat="1" spans="1:8">
      <c r="A354" s="37"/>
      <c r="B354" s="95" t="s">
        <v>606</v>
      </c>
      <c r="C354" s="87"/>
      <c r="D354" s="96">
        <v>1</v>
      </c>
      <c r="E354" s="98">
        <v>139.5</v>
      </c>
      <c r="F354" s="21">
        <f t="shared" si="29"/>
        <v>139.5</v>
      </c>
      <c r="G354" s="21"/>
      <c r="H354" s="21"/>
    </row>
    <row r="355" s="7" customFormat="1" spans="1:8">
      <c r="A355" s="37"/>
      <c r="B355" s="95" t="s">
        <v>611</v>
      </c>
      <c r="C355" s="87"/>
      <c r="D355" s="96">
        <v>1</v>
      </c>
      <c r="E355" s="98">
        <v>72.9</v>
      </c>
      <c r="F355" s="21">
        <f t="shared" si="29"/>
        <v>72.9</v>
      </c>
      <c r="G355" s="21"/>
      <c r="H355" s="21"/>
    </row>
    <row r="356" s="7" customFormat="1" spans="1:8">
      <c r="A356" s="37"/>
      <c r="B356" s="95" t="s">
        <v>608</v>
      </c>
      <c r="C356" s="87"/>
      <c r="D356" s="96">
        <v>1</v>
      </c>
      <c r="E356" s="98">
        <v>297</v>
      </c>
      <c r="F356" s="21">
        <f t="shared" si="29"/>
        <v>297</v>
      </c>
      <c r="G356" s="21"/>
      <c r="H356" s="21"/>
    </row>
    <row r="357" s="7" customFormat="1" spans="1:8">
      <c r="A357" s="37"/>
      <c r="B357" s="95" t="s">
        <v>644</v>
      </c>
      <c r="C357" s="87"/>
      <c r="D357" s="96">
        <v>2</v>
      </c>
      <c r="E357" s="98">
        <v>248.4</v>
      </c>
      <c r="F357" s="21">
        <f t="shared" si="29"/>
        <v>496.8</v>
      </c>
      <c r="G357" s="21"/>
      <c r="H357" s="21"/>
    </row>
    <row r="358" s="7" customFormat="1" spans="1:8">
      <c r="A358" s="37"/>
      <c r="B358" s="95" t="s">
        <v>585</v>
      </c>
      <c r="C358" s="87"/>
      <c r="D358" s="96">
        <v>1</v>
      </c>
      <c r="E358" s="98">
        <v>283.5</v>
      </c>
      <c r="F358" s="21">
        <f t="shared" si="29"/>
        <v>283.5</v>
      </c>
      <c r="G358" s="21"/>
      <c r="H358" s="21"/>
    </row>
    <row r="359" s="7" customFormat="1" spans="1:8">
      <c r="A359" s="37"/>
      <c r="B359" s="95" t="s">
        <v>643</v>
      </c>
      <c r="C359" s="87"/>
      <c r="D359" s="96">
        <v>1</v>
      </c>
      <c r="E359" s="98">
        <v>101.7</v>
      </c>
      <c r="F359" s="21">
        <f t="shared" si="29"/>
        <v>101.7</v>
      </c>
      <c r="G359" s="21"/>
      <c r="H359" s="21"/>
    </row>
    <row r="360" s="7" customFormat="1" spans="1:8">
      <c r="A360" s="37"/>
      <c r="B360" s="95" t="s">
        <v>643</v>
      </c>
      <c r="C360" s="87"/>
      <c r="D360" s="96">
        <v>1</v>
      </c>
      <c r="E360" s="98">
        <v>137.7</v>
      </c>
      <c r="F360" s="21">
        <f t="shared" si="29"/>
        <v>137.7</v>
      </c>
      <c r="G360" s="21"/>
      <c r="H360" s="21"/>
    </row>
    <row r="361" s="7" customFormat="1" spans="1:8">
      <c r="A361" s="37"/>
      <c r="B361" s="95" t="s">
        <v>596</v>
      </c>
      <c r="C361" s="87"/>
      <c r="D361" s="96">
        <v>1</v>
      </c>
      <c r="E361" s="98">
        <v>365.4</v>
      </c>
      <c r="F361" s="21">
        <f t="shared" si="29"/>
        <v>365.4</v>
      </c>
      <c r="G361" s="21"/>
      <c r="H361" s="21"/>
    </row>
    <row r="362" s="7" customFormat="1" spans="1:8">
      <c r="A362" s="37"/>
      <c r="B362" s="95" t="s">
        <v>645</v>
      </c>
      <c r="C362" s="87"/>
      <c r="D362" s="96">
        <v>1</v>
      </c>
      <c r="E362" s="98">
        <v>522.9</v>
      </c>
      <c r="F362" s="21">
        <f t="shared" si="29"/>
        <v>522.9</v>
      </c>
      <c r="G362" s="21"/>
      <c r="H362" s="21"/>
    </row>
    <row r="363" s="7" customFormat="1" spans="1:8">
      <c r="A363" s="37"/>
      <c r="B363" s="95" t="s">
        <v>645</v>
      </c>
      <c r="C363" s="87"/>
      <c r="D363" s="96">
        <v>1</v>
      </c>
      <c r="E363" s="98">
        <v>338.4</v>
      </c>
      <c r="F363" s="21">
        <f t="shared" si="29"/>
        <v>338.4</v>
      </c>
      <c r="G363" s="21"/>
      <c r="H363" s="21"/>
    </row>
    <row r="364" s="7" customFormat="1" spans="1:8">
      <c r="A364" s="37"/>
      <c r="B364" s="95" t="s">
        <v>645</v>
      </c>
      <c r="C364" s="87"/>
      <c r="D364" s="96">
        <v>1</v>
      </c>
      <c r="E364" s="98">
        <v>440.1</v>
      </c>
      <c r="F364" s="21">
        <f t="shared" si="29"/>
        <v>440.1</v>
      </c>
      <c r="G364" s="21"/>
      <c r="H364" s="21"/>
    </row>
    <row r="365" s="7" customFormat="1" spans="1:8">
      <c r="A365" s="37"/>
      <c r="B365" s="95" t="s">
        <v>589</v>
      </c>
      <c r="C365" s="87"/>
      <c r="D365" s="96">
        <v>1</v>
      </c>
      <c r="E365" s="98">
        <v>170.1</v>
      </c>
      <c r="F365" s="21">
        <f t="shared" si="29"/>
        <v>170.1</v>
      </c>
      <c r="G365" s="21"/>
      <c r="H365" s="21"/>
    </row>
    <row r="366" s="7" customFormat="1" spans="1:8">
      <c r="A366" s="37"/>
      <c r="B366" s="95" t="s">
        <v>636</v>
      </c>
      <c r="C366" s="87"/>
      <c r="D366" s="96">
        <v>2</v>
      </c>
      <c r="E366" s="98">
        <v>201.6</v>
      </c>
      <c r="F366" s="21">
        <f t="shared" si="29"/>
        <v>403.2</v>
      </c>
      <c r="G366" s="21"/>
      <c r="H366" s="21"/>
    </row>
    <row r="367" s="7" customFormat="1" spans="1:8">
      <c r="A367" s="37"/>
      <c r="B367" s="95" t="s">
        <v>646</v>
      </c>
      <c r="C367" s="87"/>
      <c r="D367" s="96">
        <v>1</v>
      </c>
      <c r="E367" s="98">
        <v>414.9</v>
      </c>
      <c r="F367" s="21">
        <f t="shared" si="29"/>
        <v>414.9</v>
      </c>
      <c r="G367" s="21"/>
      <c r="H367" s="21"/>
    </row>
    <row r="368" s="7" customFormat="1" spans="1:8">
      <c r="A368" s="37"/>
      <c r="B368" s="95" t="s">
        <v>647</v>
      </c>
      <c r="C368" s="87"/>
      <c r="D368" s="96">
        <v>1</v>
      </c>
      <c r="E368" s="98">
        <v>278.1</v>
      </c>
      <c r="F368" s="21">
        <f t="shared" si="29"/>
        <v>278.1</v>
      </c>
      <c r="G368" s="21"/>
      <c r="H368" s="21"/>
    </row>
    <row r="369" s="7" customFormat="1" spans="1:8">
      <c r="A369" s="37"/>
      <c r="B369" s="95" t="s">
        <v>641</v>
      </c>
      <c r="C369" s="87"/>
      <c r="D369" s="96">
        <v>2</v>
      </c>
      <c r="E369" s="98">
        <v>307.8</v>
      </c>
      <c r="F369" s="21">
        <f t="shared" si="29"/>
        <v>615.6</v>
      </c>
      <c r="G369" s="21"/>
      <c r="H369" s="21"/>
    </row>
    <row r="370" s="7" customFormat="1" spans="1:8">
      <c r="A370" s="37"/>
      <c r="B370" s="95" t="s">
        <v>639</v>
      </c>
      <c r="C370" s="87"/>
      <c r="D370" s="96">
        <v>1</v>
      </c>
      <c r="E370" s="98">
        <v>81.9</v>
      </c>
      <c r="F370" s="21">
        <f t="shared" si="29"/>
        <v>81.9</v>
      </c>
      <c r="G370" s="21"/>
      <c r="H370" s="21"/>
    </row>
    <row r="371" s="7" customFormat="1" spans="1:8">
      <c r="A371" s="37"/>
      <c r="B371" s="95" t="s">
        <v>630</v>
      </c>
      <c r="C371" s="87"/>
      <c r="D371" s="96">
        <v>1</v>
      </c>
      <c r="E371" s="98">
        <v>719</v>
      </c>
      <c r="F371" s="21">
        <f t="shared" si="29"/>
        <v>719</v>
      </c>
      <c r="G371" s="21"/>
      <c r="H371" s="21"/>
    </row>
    <row r="372" s="7" customFormat="1" spans="1:8">
      <c r="A372" s="37"/>
      <c r="B372" s="95" t="s">
        <v>645</v>
      </c>
      <c r="C372" s="87"/>
      <c r="D372" s="96">
        <v>1</v>
      </c>
      <c r="E372" s="98">
        <v>313.2</v>
      </c>
      <c r="F372" s="21">
        <f t="shared" si="29"/>
        <v>313.2</v>
      </c>
      <c r="G372" s="21"/>
      <c r="H372" s="21"/>
    </row>
    <row r="373" s="7" customFormat="1" spans="1:8">
      <c r="A373" s="37"/>
      <c r="B373" s="95" t="s">
        <v>602</v>
      </c>
      <c r="C373" s="87"/>
      <c r="D373" s="96">
        <v>1</v>
      </c>
      <c r="E373" s="98">
        <v>212.4</v>
      </c>
      <c r="F373" s="21">
        <f t="shared" si="29"/>
        <v>212.4</v>
      </c>
      <c r="G373" s="21"/>
      <c r="H373" s="21"/>
    </row>
    <row r="374" s="7" customFormat="1" spans="1:8">
      <c r="A374" s="37"/>
      <c r="B374" s="95" t="s">
        <v>603</v>
      </c>
      <c r="C374" s="87"/>
      <c r="D374" s="96">
        <v>2</v>
      </c>
      <c r="E374" s="98">
        <v>227.7</v>
      </c>
      <c r="F374" s="21">
        <f t="shared" si="29"/>
        <v>455.4</v>
      </c>
      <c r="G374" s="21"/>
      <c r="H374" s="21"/>
    </row>
    <row r="375" s="7" customFormat="1" spans="1:8">
      <c r="A375" s="37"/>
      <c r="B375" s="95" t="s">
        <v>606</v>
      </c>
      <c r="C375" s="87"/>
      <c r="D375" s="96">
        <v>2</v>
      </c>
      <c r="E375" s="98">
        <v>202.5</v>
      </c>
      <c r="F375" s="21">
        <f t="shared" si="29"/>
        <v>405</v>
      </c>
      <c r="G375" s="21"/>
      <c r="H375" s="21"/>
    </row>
    <row r="376" s="7" customFormat="1" spans="1:8">
      <c r="A376" s="37"/>
      <c r="B376" s="95" t="s">
        <v>625</v>
      </c>
      <c r="C376" s="87"/>
      <c r="D376" s="96">
        <v>2</v>
      </c>
      <c r="E376" s="98">
        <v>358.2</v>
      </c>
      <c r="F376" s="21">
        <f t="shared" si="29"/>
        <v>716.4</v>
      </c>
      <c r="G376" s="21"/>
      <c r="H376" s="21"/>
    </row>
    <row r="377" s="7" customFormat="1" spans="1:8">
      <c r="A377" s="37"/>
      <c r="B377" s="95" t="s">
        <v>625</v>
      </c>
      <c r="C377" s="87"/>
      <c r="D377" s="96">
        <v>1</v>
      </c>
      <c r="E377" s="98">
        <v>293.4</v>
      </c>
      <c r="F377" s="21">
        <f t="shared" si="29"/>
        <v>293.4</v>
      </c>
      <c r="G377" s="21"/>
      <c r="H377" s="21"/>
    </row>
    <row r="378" s="7" customFormat="1" spans="1:8">
      <c r="A378" s="37"/>
      <c r="B378" s="95" t="s">
        <v>625</v>
      </c>
      <c r="C378" s="87"/>
      <c r="D378" s="96">
        <v>2</v>
      </c>
      <c r="E378" s="98">
        <v>154.8</v>
      </c>
      <c r="F378" s="21">
        <f t="shared" si="29"/>
        <v>309.6</v>
      </c>
      <c r="G378" s="21"/>
      <c r="H378" s="21"/>
    </row>
    <row r="379" s="7" customFormat="1" spans="1:8">
      <c r="A379" s="37"/>
      <c r="B379" s="95" t="s">
        <v>606</v>
      </c>
      <c r="C379" s="87"/>
      <c r="D379" s="96">
        <v>2</v>
      </c>
      <c r="E379" s="98">
        <v>128.7</v>
      </c>
      <c r="F379" s="21">
        <f t="shared" si="29"/>
        <v>257.4</v>
      </c>
      <c r="G379" s="21"/>
      <c r="H379" s="21"/>
    </row>
    <row r="380" s="7" customFormat="1" spans="1:8">
      <c r="A380" s="37"/>
      <c r="B380" s="95" t="s">
        <v>606</v>
      </c>
      <c r="C380" s="87"/>
      <c r="D380" s="96">
        <v>1</v>
      </c>
      <c r="E380" s="98">
        <v>109.8</v>
      </c>
      <c r="F380" s="21">
        <f t="shared" si="29"/>
        <v>109.8</v>
      </c>
      <c r="G380" s="21"/>
      <c r="H380" s="21"/>
    </row>
    <row r="381" s="7" customFormat="1" spans="1:8">
      <c r="A381" s="37"/>
      <c r="B381" s="95" t="s">
        <v>643</v>
      </c>
      <c r="C381" s="87"/>
      <c r="D381" s="96">
        <v>4</v>
      </c>
      <c r="E381" s="98">
        <v>101.7</v>
      </c>
      <c r="F381" s="21">
        <f t="shared" si="29"/>
        <v>406.8</v>
      </c>
      <c r="G381" s="21"/>
      <c r="H381" s="21"/>
    </row>
    <row r="382" s="7" customFormat="1" spans="1:8">
      <c r="A382" s="37"/>
      <c r="B382" s="95" t="s">
        <v>643</v>
      </c>
      <c r="C382" s="87"/>
      <c r="D382" s="96">
        <v>4</v>
      </c>
      <c r="E382" s="98">
        <v>100.8</v>
      </c>
      <c r="F382" s="21">
        <f t="shared" si="29"/>
        <v>403.2</v>
      </c>
      <c r="G382" s="21"/>
      <c r="H382" s="21"/>
    </row>
    <row r="383" s="7" customFormat="1" spans="1:8">
      <c r="A383" s="37"/>
      <c r="B383" s="95" t="s">
        <v>648</v>
      </c>
      <c r="C383" s="87"/>
      <c r="D383" s="96">
        <v>1</v>
      </c>
      <c r="E383" s="98">
        <v>91.8</v>
      </c>
      <c r="F383" s="21">
        <f t="shared" si="29"/>
        <v>91.8</v>
      </c>
      <c r="G383" s="21"/>
      <c r="H383" s="21"/>
    </row>
    <row r="384" s="7" customFormat="1" spans="1:8">
      <c r="A384" s="37"/>
      <c r="B384" s="95" t="s">
        <v>608</v>
      </c>
      <c r="C384" s="87"/>
      <c r="D384" s="96">
        <v>1</v>
      </c>
      <c r="E384" s="98">
        <v>72</v>
      </c>
      <c r="F384" s="21">
        <f t="shared" si="29"/>
        <v>72</v>
      </c>
      <c r="G384" s="21"/>
      <c r="H384" s="21"/>
    </row>
    <row r="385" s="7" customFormat="1" spans="1:8">
      <c r="A385" s="37"/>
      <c r="B385" s="95" t="s">
        <v>648</v>
      </c>
      <c r="C385" s="87"/>
      <c r="D385" s="96">
        <v>1</v>
      </c>
      <c r="E385" s="98">
        <v>146.7</v>
      </c>
      <c r="F385" s="21">
        <f t="shared" si="29"/>
        <v>146.7</v>
      </c>
      <c r="G385" s="21"/>
      <c r="H385" s="21"/>
    </row>
    <row r="386" s="7" customFormat="1" spans="1:8">
      <c r="A386" s="37"/>
      <c r="B386" s="95" t="s">
        <v>585</v>
      </c>
      <c r="C386" s="87"/>
      <c r="D386" s="96">
        <v>1</v>
      </c>
      <c r="E386" s="98">
        <v>288</v>
      </c>
      <c r="F386" s="21">
        <f t="shared" si="29"/>
        <v>288</v>
      </c>
      <c r="G386" s="21"/>
      <c r="H386" s="21"/>
    </row>
    <row r="387" s="7" customFormat="1" spans="1:8">
      <c r="A387" s="37"/>
      <c r="B387" s="95" t="s">
        <v>585</v>
      </c>
      <c r="C387" s="87"/>
      <c r="D387" s="96">
        <v>1</v>
      </c>
      <c r="E387" s="98">
        <v>277.2</v>
      </c>
      <c r="F387" s="21">
        <f t="shared" si="29"/>
        <v>277.2</v>
      </c>
      <c r="G387" s="21"/>
      <c r="H387" s="21"/>
    </row>
    <row r="388" s="7" customFormat="1" spans="1:8">
      <c r="A388" s="37"/>
      <c r="B388" s="95" t="s">
        <v>585</v>
      </c>
      <c r="C388" s="87"/>
      <c r="D388" s="96">
        <v>1</v>
      </c>
      <c r="E388" s="98">
        <v>161.1</v>
      </c>
      <c r="F388" s="21">
        <f t="shared" si="29"/>
        <v>161.1</v>
      </c>
      <c r="G388" s="21"/>
      <c r="H388" s="21"/>
    </row>
    <row r="389" s="7" customFormat="1" spans="1:8">
      <c r="A389" s="37"/>
      <c r="B389" s="95" t="s">
        <v>585</v>
      </c>
      <c r="C389" s="87"/>
      <c r="D389" s="96">
        <v>1</v>
      </c>
      <c r="E389" s="98">
        <v>412.2</v>
      </c>
      <c r="F389" s="21">
        <f t="shared" si="29"/>
        <v>412.2</v>
      </c>
      <c r="G389" s="21"/>
      <c r="H389" s="21"/>
    </row>
    <row r="390" s="7" customFormat="1" spans="1:8">
      <c r="A390" s="37"/>
      <c r="B390" s="95" t="s">
        <v>608</v>
      </c>
      <c r="C390" s="87"/>
      <c r="D390" s="96">
        <v>2</v>
      </c>
      <c r="E390" s="98">
        <v>72</v>
      </c>
      <c r="F390" s="21">
        <f t="shared" si="29"/>
        <v>144</v>
      </c>
      <c r="G390" s="21"/>
      <c r="H390" s="21"/>
    </row>
    <row r="391" s="7" customFormat="1" spans="1:8">
      <c r="A391" s="37"/>
      <c r="B391" s="95" t="s">
        <v>601</v>
      </c>
      <c r="C391" s="87"/>
      <c r="D391" s="96">
        <v>1</v>
      </c>
      <c r="E391" s="98">
        <v>126.9</v>
      </c>
      <c r="F391" s="21">
        <f t="shared" si="29"/>
        <v>126.9</v>
      </c>
      <c r="G391" s="21"/>
      <c r="H391" s="21"/>
    </row>
    <row r="392" s="7" customFormat="1" spans="1:8">
      <c r="A392" s="37"/>
      <c r="B392" s="95" t="s">
        <v>649</v>
      </c>
      <c r="C392" s="87"/>
      <c r="D392" s="96">
        <v>1</v>
      </c>
      <c r="E392" s="98">
        <v>76.5</v>
      </c>
      <c r="F392" s="21">
        <f t="shared" si="29"/>
        <v>76.5</v>
      </c>
      <c r="G392" s="21"/>
      <c r="H392" s="21"/>
    </row>
    <row r="393" s="7" customFormat="1" spans="1:8">
      <c r="A393" s="37"/>
      <c r="B393" s="95" t="s">
        <v>625</v>
      </c>
      <c r="C393" s="87"/>
      <c r="D393" s="96">
        <v>1</v>
      </c>
      <c r="E393" s="98">
        <v>93.6</v>
      </c>
      <c r="F393" s="21">
        <f t="shared" si="29"/>
        <v>93.6</v>
      </c>
      <c r="G393" s="21"/>
      <c r="H393" s="21"/>
    </row>
    <row r="394" s="7" customFormat="1" spans="1:8">
      <c r="A394" s="37"/>
      <c r="B394" s="95" t="s">
        <v>615</v>
      </c>
      <c r="C394" s="87"/>
      <c r="D394" s="96">
        <v>1</v>
      </c>
      <c r="E394" s="98">
        <v>62.1</v>
      </c>
      <c r="F394" s="21">
        <f t="shared" si="29"/>
        <v>62.1</v>
      </c>
      <c r="G394" s="21"/>
      <c r="H394" s="21"/>
    </row>
    <row r="395" s="7" customFormat="1" spans="1:8">
      <c r="A395" s="37"/>
      <c r="B395" s="95" t="s">
        <v>602</v>
      </c>
      <c r="C395" s="87"/>
      <c r="D395" s="96">
        <v>1</v>
      </c>
      <c r="E395" s="98">
        <v>106.2</v>
      </c>
      <c r="F395" s="21">
        <f t="shared" si="29"/>
        <v>106.2</v>
      </c>
      <c r="G395" s="21"/>
      <c r="H395" s="21"/>
    </row>
    <row r="396" s="7" customFormat="1" spans="1:8">
      <c r="A396" s="37"/>
      <c r="B396" s="95" t="s">
        <v>650</v>
      </c>
      <c r="C396" s="87"/>
      <c r="D396" s="96">
        <v>2</v>
      </c>
      <c r="E396" s="98">
        <v>40.5</v>
      </c>
      <c r="F396" s="21">
        <f t="shared" si="29"/>
        <v>81</v>
      </c>
      <c r="G396" s="21"/>
      <c r="H396" s="21"/>
    </row>
    <row r="397" s="7" customFormat="1" spans="1:8">
      <c r="A397" s="37"/>
      <c r="B397" s="95" t="s">
        <v>651</v>
      </c>
      <c r="C397" s="87"/>
      <c r="D397" s="96">
        <v>2</v>
      </c>
      <c r="E397" s="98">
        <v>644.4</v>
      </c>
      <c r="F397" s="21">
        <f t="shared" si="29"/>
        <v>1288.8</v>
      </c>
      <c r="G397" s="21"/>
      <c r="H397" s="21"/>
    </row>
    <row r="398" s="7" customFormat="1" spans="1:8">
      <c r="A398" s="37"/>
      <c r="B398" s="95" t="s">
        <v>636</v>
      </c>
      <c r="C398" s="87"/>
      <c r="D398" s="96">
        <v>1</v>
      </c>
      <c r="E398" s="98">
        <v>45</v>
      </c>
      <c r="F398" s="21">
        <f t="shared" si="29"/>
        <v>45</v>
      </c>
      <c r="G398" s="21"/>
      <c r="H398" s="21"/>
    </row>
    <row r="399" s="7" customFormat="1" spans="1:8">
      <c r="A399" s="37"/>
      <c r="B399" s="95" t="s">
        <v>652</v>
      </c>
      <c r="C399" s="87"/>
      <c r="D399" s="96">
        <v>3</v>
      </c>
      <c r="E399" s="98">
        <v>220.5</v>
      </c>
      <c r="F399" s="21">
        <f t="shared" si="29"/>
        <v>661.5</v>
      </c>
      <c r="G399" s="21"/>
      <c r="H399" s="21"/>
    </row>
    <row r="400" s="7" customFormat="1" spans="1:8">
      <c r="A400" s="37"/>
      <c r="B400" s="95" t="s">
        <v>652</v>
      </c>
      <c r="C400" s="87"/>
      <c r="D400" s="96">
        <v>1</v>
      </c>
      <c r="E400" s="98">
        <v>865.8</v>
      </c>
      <c r="F400" s="21">
        <f t="shared" si="29"/>
        <v>865.8</v>
      </c>
      <c r="G400" s="21"/>
      <c r="H400" s="21"/>
    </row>
    <row r="401" s="7" customFormat="1" spans="1:8">
      <c r="A401" s="37"/>
      <c r="B401" s="95" t="s">
        <v>608</v>
      </c>
      <c r="C401" s="87"/>
      <c r="D401" s="96">
        <v>1</v>
      </c>
      <c r="E401" s="98">
        <v>453.6</v>
      </c>
      <c r="F401" s="21">
        <f t="shared" si="29"/>
        <v>453.6</v>
      </c>
      <c r="G401" s="21"/>
      <c r="H401" s="21"/>
    </row>
    <row r="402" s="7" customFormat="1" spans="1:8">
      <c r="A402" s="37"/>
      <c r="B402" s="95" t="s">
        <v>630</v>
      </c>
      <c r="C402" s="87"/>
      <c r="D402" s="96">
        <v>3</v>
      </c>
      <c r="E402" s="98">
        <v>455.4</v>
      </c>
      <c r="F402" s="21">
        <f t="shared" si="29"/>
        <v>1366.2</v>
      </c>
      <c r="G402" s="21"/>
      <c r="H402" s="21"/>
    </row>
    <row r="403" s="7" customFormat="1" spans="1:8">
      <c r="A403" s="37"/>
      <c r="B403" s="95" t="s">
        <v>626</v>
      </c>
      <c r="C403" s="87"/>
      <c r="D403" s="96">
        <v>2</v>
      </c>
      <c r="E403" s="98">
        <v>176.4</v>
      </c>
      <c r="F403" s="21">
        <f t="shared" si="29"/>
        <v>352.8</v>
      </c>
      <c r="G403" s="21"/>
      <c r="H403" s="21"/>
    </row>
    <row r="404" s="7" customFormat="1" spans="1:8">
      <c r="A404" s="37"/>
      <c r="B404" s="95" t="s">
        <v>589</v>
      </c>
      <c r="C404" s="87"/>
      <c r="D404" s="96">
        <v>1</v>
      </c>
      <c r="E404" s="98">
        <v>703.8</v>
      </c>
      <c r="F404" s="21">
        <f t="shared" si="29"/>
        <v>703.8</v>
      </c>
      <c r="G404" s="21"/>
      <c r="H404" s="21"/>
    </row>
    <row r="405" s="7" customFormat="1" spans="1:8">
      <c r="A405" s="37"/>
      <c r="B405" s="95" t="s">
        <v>636</v>
      </c>
      <c r="C405" s="87"/>
      <c r="D405" s="96">
        <v>3</v>
      </c>
      <c r="E405" s="98">
        <v>607.5</v>
      </c>
      <c r="F405" s="21">
        <f t="shared" si="29"/>
        <v>1822.5</v>
      </c>
      <c r="G405" s="21"/>
      <c r="H405" s="21"/>
    </row>
    <row r="406" s="7" customFormat="1" ht="22.5" spans="1:8">
      <c r="A406" s="37"/>
      <c r="B406" s="95" t="s">
        <v>653</v>
      </c>
      <c r="C406" s="87"/>
      <c r="D406" s="96">
        <v>1</v>
      </c>
      <c r="E406" s="98">
        <v>195.3</v>
      </c>
      <c r="F406" s="21">
        <f t="shared" si="29"/>
        <v>195.3</v>
      </c>
      <c r="G406" s="21"/>
      <c r="H406" s="21"/>
    </row>
    <row r="407" s="7" customFormat="1" spans="1:8">
      <c r="A407" s="37"/>
      <c r="B407" s="95" t="s">
        <v>654</v>
      </c>
      <c r="C407" s="87"/>
      <c r="D407" s="96">
        <v>3</v>
      </c>
      <c r="E407" s="98">
        <v>262.8</v>
      </c>
      <c r="F407" s="21">
        <f t="shared" si="29"/>
        <v>788.4</v>
      </c>
      <c r="G407" s="21"/>
      <c r="H407" s="21"/>
    </row>
    <row r="408" s="7" customFormat="1" spans="1:8">
      <c r="A408" s="37"/>
      <c r="B408" s="95" t="s">
        <v>608</v>
      </c>
      <c r="C408" s="87"/>
      <c r="D408" s="96">
        <v>1</v>
      </c>
      <c r="E408" s="98">
        <v>195.3</v>
      </c>
      <c r="F408" s="21">
        <f t="shared" si="29"/>
        <v>195.3</v>
      </c>
      <c r="G408" s="21"/>
      <c r="H408" s="21"/>
    </row>
    <row r="409" s="7" customFormat="1" spans="1:8">
      <c r="A409" s="37"/>
      <c r="B409" s="95" t="s">
        <v>652</v>
      </c>
      <c r="C409" s="87"/>
      <c r="D409" s="96">
        <v>2</v>
      </c>
      <c r="E409" s="98">
        <v>220.5</v>
      </c>
      <c r="F409" s="21">
        <f t="shared" si="29"/>
        <v>441</v>
      </c>
      <c r="G409" s="21"/>
      <c r="H409" s="21"/>
    </row>
    <row r="410" s="7" customFormat="1" spans="1:8">
      <c r="A410" s="37"/>
      <c r="B410" s="95" t="s">
        <v>626</v>
      </c>
      <c r="C410" s="87"/>
      <c r="D410" s="96">
        <v>1</v>
      </c>
      <c r="E410" s="98">
        <v>223.2</v>
      </c>
      <c r="F410" s="21">
        <f t="shared" si="29"/>
        <v>223.2</v>
      </c>
      <c r="G410" s="21"/>
      <c r="H410" s="21"/>
    </row>
    <row r="411" s="7" customFormat="1" spans="1:8">
      <c r="A411" s="37"/>
      <c r="B411" s="95" t="s">
        <v>655</v>
      </c>
      <c r="C411" s="87"/>
      <c r="D411" s="96">
        <v>6</v>
      </c>
      <c r="E411" s="98">
        <v>204.3</v>
      </c>
      <c r="F411" s="21">
        <f t="shared" si="29"/>
        <v>1225.8</v>
      </c>
      <c r="G411" s="21"/>
      <c r="H411" s="21"/>
    </row>
    <row r="412" s="7" customFormat="1" spans="1:8">
      <c r="A412" s="37"/>
      <c r="B412" s="95" t="s">
        <v>655</v>
      </c>
      <c r="C412" s="87"/>
      <c r="D412" s="96">
        <v>2</v>
      </c>
      <c r="E412" s="98">
        <v>85.5</v>
      </c>
      <c r="F412" s="21">
        <f t="shared" si="29"/>
        <v>171</v>
      </c>
      <c r="G412" s="21"/>
      <c r="H412" s="21"/>
    </row>
    <row r="413" s="7" customFormat="1" spans="1:8">
      <c r="A413" s="37"/>
      <c r="B413" s="95" t="s">
        <v>656</v>
      </c>
      <c r="C413" s="87"/>
      <c r="D413" s="96">
        <v>1</v>
      </c>
      <c r="E413" s="98">
        <v>557.1</v>
      </c>
      <c r="F413" s="21">
        <f t="shared" si="29"/>
        <v>557.1</v>
      </c>
      <c r="G413" s="21"/>
      <c r="H413" s="21"/>
    </row>
    <row r="414" s="7" customFormat="1" ht="22.5" spans="1:8">
      <c r="A414" s="37"/>
      <c r="B414" s="95" t="s">
        <v>657</v>
      </c>
      <c r="C414" s="87"/>
      <c r="D414" s="96">
        <v>1</v>
      </c>
      <c r="E414" s="98">
        <v>275.4</v>
      </c>
      <c r="F414" s="21">
        <f t="shared" si="29"/>
        <v>275.4</v>
      </c>
      <c r="G414" s="21"/>
      <c r="H414" s="21"/>
    </row>
    <row r="415" s="7" customFormat="1" spans="1:8">
      <c r="A415" s="37"/>
      <c r="B415" s="95" t="s">
        <v>648</v>
      </c>
      <c r="C415" s="87"/>
      <c r="D415" s="96">
        <v>1</v>
      </c>
      <c r="E415" s="98">
        <v>149.4</v>
      </c>
      <c r="F415" s="21">
        <f t="shared" ref="F415:F478" si="30">D415*E415</f>
        <v>149.4</v>
      </c>
      <c r="G415" s="21"/>
      <c r="H415" s="21"/>
    </row>
    <row r="416" s="7" customFormat="1" ht="22.5" spans="1:8">
      <c r="A416" s="37"/>
      <c r="B416" s="95" t="s">
        <v>658</v>
      </c>
      <c r="C416" s="87"/>
      <c r="D416" s="96">
        <v>4</v>
      </c>
      <c r="E416" s="98">
        <v>81.9</v>
      </c>
      <c r="F416" s="21">
        <f t="shared" si="30"/>
        <v>327.6</v>
      </c>
      <c r="G416" s="21"/>
      <c r="H416" s="21"/>
    </row>
    <row r="417" s="7" customFormat="1" spans="1:8">
      <c r="A417" s="37"/>
      <c r="B417" s="95" t="s">
        <v>638</v>
      </c>
      <c r="C417" s="87"/>
      <c r="D417" s="96">
        <v>1</v>
      </c>
      <c r="E417" s="98">
        <v>153.9</v>
      </c>
      <c r="F417" s="21">
        <f t="shared" si="30"/>
        <v>153.9</v>
      </c>
      <c r="G417" s="21"/>
      <c r="H417" s="21"/>
    </row>
    <row r="418" s="7" customFormat="1" spans="1:8">
      <c r="A418" s="37"/>
      <c r="B418" s="95" t="s">
        <v>626</v>
      </c>
      <c r="C418" s="87"/>
      <c r="D418" s="96">
        <v>1</v>
      </c>
      <c r="E418" s="98">
        <v>270</v>
      </c>
      <c r="F418" s="21">
        <f t="shared" si="30"/>
        <v>270</v>
      </c>
      <c r="G418" s="21"/>
      <c r="H418" s="21"/>
    </row>
    <row r="419" s="7" customFormat="1" spans="1:8">
      <c r="A419" s="37"/>
      <c r="B419" s="95" t="s">
        <v>648</v>
      </c>
      <c r="C419" s="87"/>
      <c r="D419" s="96">
        <v>1</v>
      </c>
      <c r="E419" s="98">
        <v>89.1</v>
      </c>
      <c r="F419" s="21">
        <f t="shared" si="30"/>
        <v>89.1</v>
      </c>
      <c r="G419" s="21"/>
      <c r="H419" s="21"/>
    </row>
    <row r="420" s="7" customFormat="1" spans="1:8">
      <c r="A420" s="37"/>
      <c r="B420" s="95" t="s">
        <v>659</v>
      </c>
      <c r="C420" s="87"/>
      <c r="D420" s="96">
        <v>1</v>
      </c>
      <c r="E420" s="98">
        <v>100.8</v>
      </c>
      <c r="F420" s="21">
        <f t="shared" si="30"/>
        <v>100.8</v>
      </c>
      <c r="G420" s="21"/>
      <c r="H420" s="21"/>
    </row>
    <row r="421" s="7" customFormat="1" spans="1:8">
      <c r="A421" s="37"/>
      <c r="B421" s="95" t="s">
        <v>608</v>
      </c>
      <c r="C421" s="87"/>
      <c r="D421" s="96">
        <v>2</v>
      </c>
      <c r="E421" s="98">
        <v>76.5</v>
      </c>
      <c r="F421" s="21">
        <f t="shared" si="30"/>
        <v>153</v>
      </c>
      <c r="G421" s="21"/>
      <c r="H421" s="21"/>
    </row>
    <row r="422" s="7" customFormat="1" spans="1:8">
      <c r="A422" s="37"/>
      <c r="B422" s="95" t="s">
        <v>660</v>
      </c>
      <c r="C422" s="87"/>
      <c r="D422" s="96">
        <v>1</v>
      </c>
      <c r="E422" s="98">
        <v>130.5</v>
      </c>
      <c r="F422" s="21">
        <f t="shared" si="30"/>
        <v>130.5</v>
      </c>
      <c r="G422" s="21"/>
      <c r="H422" s="21"/>
    </row>
    <row r="423" s="7" customFormat="1" spans="1:8">
      <c r="A423" s="37"/>
      <c r="B423" s="95" t="s">
        <v>630</v>
      </c>
      <c r="C423" s="87"/>
      <c r="D423" s="96">
        <v>1</v>
      </c>
      <c r="E423" s="98">
        <v>78.3</v>
      </c>
      <c r="F423" s="21">
        <f t="shared" si="30"/>
        <v>78.3</v>
      </c>
      <c r="G423" s="21"/>
      <c r="H423" s="21"/>
    </row>
    <row r="424" s="7" customFormat="1" spans="1:8">
      <c r="A424" s="37"/>
      <c r="B424" s="95" t="s">
        <v>661</v>
      </c>
      <c r="C424" s="87"/>
      <c r="D424" s="96">
        <v>1</v>
      </c>
      <c r="E424" s="98">
        <v>249.3</v>
      </c>
      <c r="F424" s="21">
        <f t="shared" si="30"/>
        <v>249.3</v>
      </c>
      <c r="G424" s="21"/>
      <c r="H424" s="21"/>
    </row>
    <row r="425" s="7" customFormat="1" spans="1:8">
      <c r="A425" s="37"/>
      <c r="B425" s="95" t="s">
        <v>592</v>
      </c>
      <c r="C425" s="87"/>
      <c r="D425" s="96">
        <v>1</v>
      </c>
      <c r="E425" s="98">
        <v>355.5</v>
      </c>
      <c r="F425" s="21">
        <f t="shared" si="30"/>
        <v>355.5</v>
      </c>
      <c r="G425" s="21"/>
      <c r="H425" s="21"/>
    </row>
    <row r="426" s="7" customFormat="1" spans="1:8">
      <c r="A426" s="37"/>
      <c r="B426" s="95" t="s">
        <v>662</v>
      </c>
      <c r="C426" s="87"/>
      <c r="D426" s="96">
        <v>1</v>
      </c>
      <c r="E426" s="98">
        <v>273.6</v>
      </c>
      <c r="F426" s="21">
        <f t="shared" si="30"/>
        <v>273.6</v>
      </c>
      <c r="G426" s="21"/>
      <c r="H426" s="21"/>
    </row>
    <row r="427" s="7" customFormat="1" spans="1:8">
      <c r="A427" s="37"/>
      <c r="B427" s="95" t="s">
        <v>585</v>
      </c>
      <c r="C427" s="87"/>
      <c r="D427" s="96">
        <v>1</v>
      </c>
      <c r="E427" s="98">
        <v>157.5</v>
      </c>
      <c r="F427" s="21">
        <f t="shared" si="30"/>
        <v>157.5</v>
      </c>
      <c r="G427" s="21"/>
      <c r="H427" s="21"/>
    </row>
    <row r="428" s="7" customFormat="1" spans="1:8">
      <c r="A428" s="37"/>
      <c r="B428" s="95" t="s">
        <v>663</v>
      </c>
      <c r="C428" s="87"/>
      <c r="D428" s="96">
        <v>1</v>
      </c>
      <c r="E428" s="98">
        <v>129.6</v>
      </c>
      <c r="F428" s="21">
        <f t="shared" si="30"/>
        <v>129.6</v>
      </c>
      <c r="G428" s="21"/>
      <c r="H428" s="21"/>
    </row>
    <row r="429" s="7" customFormat="1" spans="1:8">
      <c r="A429" s="37"/>
      <c r="B429" s="95" t="s">
        <v>625</v>
      </c>
      <c r="C429" s="87"/>
      <c r="D429" s="96">
        <v>1</v>
      </c>
      <c r="E429" s="98">
        <v>315.9</v>
      </c>
      <c r="F429" s="21">
        <f t="shared" si="30"/>
        <v>315.9</v>
      </c>
      <c r="G429" s="21"/>
      <c r="H429" s="21"/>
    </row>
    <row r="430" s="7" customFormat="1" spans="1:8">
      <c r="A430" s="37"/>
      <c r="B430" s="95" t="s">
        <v>600</v>
      </c>
      <c r="C430" s="87"/>
      <c r="D430" s="96">
        <v>1</v>
      </c>
      <c r="E430" s="98">
        <v>149.4</v>
      </c>
      <c r="F430" s="21">
        <f t="shared" si="30"/>
        <v>149.4</v>
      </c>
      <c r="G430" s="21"/>
      <c r="H430" s="21"/>
    </row>
    <row r="431" s="7" customFormat="1" spans="1:8">
      <c r="A431" s="37"/>
      <c r="B431" s="95" t="s">
        <v>664</v>
      </c>
      <c r="C431" s="87"/>
      <c r="D431" s="96">
        <v>1</v>
      </c>
      <c r="E431" s="98">
        <v>102.6</v>
      </c>
      <c r="F431" s="21">
        <f t="shared" si="30"/>
        <v>102.6</v>
      </c>
      <c r="G431" s="21"/>
      <c r="H431" s="21"/>
    </row>
    <row r="432" s="7" customFormat="1" ht="33.75" spans="1:8">
      <c r="A432" s="37"/>
      <c r="B432" s="95" t="s">
        <v>665</v>
      </c>
      <c r="C432" s="87"/>
      <c r="D432" s="96">
        <v>1</v>
      </c>
      <c r="E432" s="98">
        <v>74.7</v>
      </c>
      <c r="F432" s="21">
        <f t="shared" si="30"/>
        <v>74.7</v>
      </c>
      <c r="G432" s="21"/>
      <c r="H432" s="21"/>
    </row>
    <row r="433" s="7" customFormat="1" spans="1:8">
      <c r="A433" s="37"/>
      <c r="B433" s="95" t="s">
        <v>636</v>
      </c>
      <c r="C433" s="87"/>
      <c r="D433" s="96">
        <v>5</v>
      </c>
      <c r="E433" s="98">
        <v>173.7</v>
      </c>
      <c r="F433" s="21">
        <f t="shared" si="30"/>
        <v>868.5</v>
      </c>
      <c r="G433" s="21"/>
      <c r="H433" s="21"/>
    </row>
    <row r="434" s="7" customFormat="1" spans="1:8">
      <c r="A434" s="37"/>
      <c r="B434" s="95" t="s">
        <v>666</v>
      </c>
      <c r="C434" s="87"/>
      <c r="D434" s="96">
        <v>1</v>
      </c>
      <c r="E434" s="98">
        <v>77.4</v>
      </c>
      <c r="F434" s="21">
        <f t="shared" si="30"/>
        <v>77.4</v>
      </c>
      <c r="G434" s="21"/>
      <c r="H434" s="21"/>
    </row>
    <row r="435" s="7" customFormat="1" spans="1:8">
      <c r="A435" s="37"/>
      <c r="B435" s="95" t="s">
        <v>667</v>
      </c>
      <c r="C435" s="87"/>
      <c r="D435" s="96">
        <v>11</v>
      </c>
      <c r="E435" s="98">
        <v>10.8</v>
      </c>
      <c r="F435" s="21">
        <f t="shared" si="30"/>
        <v>118.8</v>
      </c>
      <c r="G435" s="21"/>
      <c r="H435" s="21"/>
    </row>
    <row r="436" s="7" customFormat="1" spans="1:8">
      <c r="A436" s="37"/>
      <c r="B436" s="95" t="s">
        <v>667</v>
      </c>
      <c r="C436" s="87"/>
      <c r="D436" s="96">
        <v>10</v>
      </c>
      <c r="E436" s="98">
        <v>10.8</v>
      </c>
      <c r="F436" s="21">
        <f t="shared" si="30"/>
        <v>108</v>
      </c>
      <c r="G436" s="21"/>
      <c r="H436" s="21"/>
    </row>
    <row r="437" s="7" customFormat="1" spans="1:8">
      <c r="A437" s="37"/>
      <c r="B437" s="95" t="s">
        <v>668</v>
      </c>
      <c r="C437" s="87"/>
      <c r="D437" s="96">
        <v>2</v>
      </c>
      <c r="E437" s="98">
        <v>72</v>
      </c>
      <c r="F437" s="21">
        <f t="shared" si="30"/>
        <v>144</v>
      </c>
      <c r="G437" s="21"/>
      <c r="H437" s="21"/>
    </row>
    <row r="438" s="7" customFormat="1" spans="1:8">
      <c r="A438" s="37"/>
      <c r="B438" s="95" t="s">
        <v>601</v>
      </c>
      <c r="C438" s="87"/>
      <c r="D438" s="96">
        <v>1</v>
      </c>
      <c r="E438" s="98">
        <v>195.3</v>
      </c>
      <c r="F438" s="21">
        <f t="shared" si="30"/>
        <v>195.3</v>
      </c>
      <c r="G438" s="21"/>
      <c r="H438" s="21"/>
    </row>
    <row r="439" s="7" customFormat="1" spans="1:8">
      <c r="A439" s="37"/>
      <c r="B439" s="95" t="s">
        <v>585</v>
      </c>
      <c r="C439" s="87"/>
      <c r="D439" s="96">
        <v>1</v>
      </c>
      <c r="E439" s="98">
        <v>161.1</v>
      </c>
      <c r="F439" s="21">
        <f t="shared" si="30"/>
        <v>161.1</v>
      </c>
      <c r="G439" s="21"/>
      <c r="H439" s="21"/>
    </row>
    <row r="440" s="7" customFormat="1" spans="1:8">
      <c r="A440" s="37"/>
      <c r="B440" s="95" t="s">
        <v>669</v>
      </c>
      <c r="C440" s="87"/>
      <c r="D440" s="96">
        <v>1</v>
      </c>
      <c r="E440" s="98">
        <v>717.3</v>
      </c>
      <c r="F440" s="21">
        <f t="shared" si="30"/>
        <v>717.3</v>
      </c>
      <c r="G440" s="21"/>
      <c r="H440" s="21"/>
    </row>
    <row r="441" s="7" customFormat="1" spans="1:8">
      <c r="A441" s="37"/>
      <c r="B441" s="95" t="s">
        <v>602</v>
      </c>
      <c r="C441" s="87"/>
      <c r="D441" s="96">
        <v>2</v>
      </c>
      <c r="E441" s="98">
        <v>61.2</v>
      </c>
      <c r="F441" s="21">
        <f t="shared" si="30"/>
        <v>122.4</v>
      </c>
      <c r="G441" s="21"/>
      <c r="H441" s="21"/>
    </row>
    <row r="442" s="7" customFormat="1" spans="1:8">
      <c r="A442" s="37"/>
      <c r="B442" s="95" t="s">
        <v>670</v>
      </c>
      <c r="C442" s="87"/>
      <c r="D442" s="96">
        <v>1</v>
      </c>
      <c r="E442" s="98">
        <v>277.2</v>
      </c>
      <c r="F442" s="21">
        <f t="shared" si="30"/>
        <v>277.2</v>
      </c>
      <c r="G442" s="21"/>
      <c r="H442" s="21"/>
    </row>
    <row r="443" s="7" customFormat="1" spans="1:8">
      <c r="A443" s="37"/>
      <c r="B443" s="95" t="s">
        <v>670</v>
      </c>
      <c r="C443" s="87"/>
      <c r="D443" s="96">
        <v>1</v>
      </c>
      <c r="E443" s="98">
        <v>357.3</v>
      </c>
      <c r="F443" s="21">
        <f t="shared" si="30"/>
        <v>357.3</v>
      </c>
      <c r="G443" s="21"/>
      <c r="H443" s="21"/>
    </row>
    <row r="444" s="7" customFormat="1" spans="1:8">
      <c r="A444" s="37"/>
      <c r="B444" s="95" t="s">
        <v>620</v>
      </c>
      <c r="C444" s="87"/>
      <c r="D444" s="96">
        <v>1</v>
      </c>
      <c r="E444" s="98">
        <v>483.3</v>
      </c>
      <c r="F444" s="21">
        <f t="shared" si="30"/>
        <v>483.3</v>
      </c>
      <c r="G444" s="21"/>
      <c r="H444" s="21"/>
    </row>
    <row r="445" s="7" customFormat="1" spans="1:8">
      <c r="A445" s="37"/>
      <c r="B445" s="95" t="s">
        <v>670</v>
      </c>
      <c r="C445" s="87"/>
      <c r="D445" s="96">
        <v>2</v>
      </c>
      <c r="E445" s="98">
        <v>229.5</v>
      </c>
      <c r="F445" s="21">
        <f t="shared" si="30"/>
        <v>459</v>
      </c>
      <c r="G445" s="21"/>
      <c r="H445" s="21"/>
    </row>
    <row r="446" s="7" customFormat="1" spans="1:8">
      <c r="A446" s="37"/>
      <c r="B446" s="95" t="s">
        <v>670</v>
      </c>
      <c r="C446" s="87"/>
      <c r="D446" s="96">
        <v>2</v>
      </c>
      <c r="E446" s="98">
        <v>201.6</v>
      </c>
      <c r="F446" s="21">
        <f t="shared" si="30"/>
        <v>403.2</v>
      </c>
      <c r="G446" s="21"/>
      <c r="H446" s="21"/>
    </row>
    <row r="447" s="7" customFormat="1" spans="1:8">
      <c r="A447" s="37"/>
      <c r="B447" s="95" t="s">
        <v>671</v>
      </c>
      <c r="C447" s="87"/>
      <c r="D447" s="96">
        <v>1</v>
      </c>
      <c r="E447" s="98">
        <v>426.6</v>
      </c>
      <c r="F447" s="21">
        <f t="shared" si="30"/>
        <v>426.6</v>
      </c>
      <c r="G447" s="21"/>
      <c r="H447" s="21"/>
    </row>
    <row r="448" s="7" customFormat="1" spans="1:8">
      <c r="A448" s="37"/>
      <c r="B448" s="95" t="s">
        <v>621</v>
      </c>
      <c r="C448" s="87"/>
      <c r="D448" s="96">
        <v>2</v>
      </c>
      <c r="E448" s="98">
        <v>751.5</v>
      </c>
      <c r="F448" s="21">
        <f t="shared" si="30"/>
        <v>1503</v>
      </c>
      <c r="G448" s="21"/>
      <c r="H448" s="21"/>
    </row>
    <row r="449" s="7" customFormat="1" spans="1:8">
      <c r="A449" s="37"/>
      <c r="B449" s="95" t="s">
        <v>672</v>
      </c>
      <c r="C449" s="87"/>
      <c r="D449" s="96">
        <v>1</v>
      </c>
      <c r="E449" s="98">
        <v>114.3</v>
      </c>
      <c r="F449" s="21">
        <f t="shared" si="30"/>
        <v>114.3</v>
      </c>
      <c r="G449" s="21"/>
      <c r="H449" s="21"/>
    </row>
    <row r="450" s="7" customFormat="1" spans="1:8">
      <c r="A450" s="37"/>
      <c r="B450" s="95" t="s">
        <v>655</v>
      </c>
      <c r="C450" s="87"/>
      <c r="D450" s="96">
        <v>2</v>
      </c>
      <c r="E450" s="98">
        <v>213.3</v>
      </c>
      <c r="F450" s="21">
        <f t="shared" si="30"/>
        <v>426.6</v>
      </c>
      <c r="G450" s="21"/>
      <c r="H450" s="21"/>
    </row>
    <row r="451" s="7" customFormat="1" spans="1:8">
      <c r="A451" s="37"/>
      <c r="B451" s="95" t="s">
        <v>633</v>
      </c>
      <c r="C451" s="87"/>
      <c r="D451" s="96">
        <v>1</v>
      </c>
      <c r="E451" s="98">
        <v>184.5</v>
      </c>
      <c r="F451" s="21">
        <f t="shared" si="30"/>
        <v>184.5</v>
      </c>
      <c r="G451" s="21"/>
      <c r="H451" s="21"/>
    </row>
    <row r="452" s="7" customFormat="1" spans="1:8">
      <c r="A452" s="37"/>
      <c r="B452" s="95" t="s">
        <v>632</v>
      </c>
      <c r="C452" s="87"/>
      <c r="D452" s="96">
        <v>1</v>
      </c>
      <c r="E452" s="98">
        <v>388.8</v>
      </c>
      <c r="F452" s="21">
        <f t="shared" si="30"/>
        <v>388.8</v>
      </c>
      <c r="G452" s="21"/>
      <c r="H452" s="21"/>
    </row>
    <row r="453" s="7" customFormat="1" spans="1:8">
      <c r="A453" s="37"/>
      <c r="B453" s="95" t="s">
        <v>633</v>
      </c>
      <c r="C453" s="87"/>
      <c r="D453" s="96">
        <v>1</v>
      </c>
      <c r="E453" s="98">
        <v>514.8</v>
      </c>
      <c r="F453" s="21">
        <f t="shared" si="30"/>
        <v>514.8</v>
      </c>
      <c r="G453" s="21"/>
      <c r="H453" s="21"/>
    </row>
    <row r="454" s="7" customFormat="1" spans="1:8">
      <c r="A454" s="37"/>
      <c r="B454" s="95" t="s">
        <v>626</v>
      </c>
      <c r="C454" s="87"/>
      <c r="D454" s="96">
        <v>2</v>
      </c>
      <c r="E454" s="98">
        <v>140.4</v>
      </c>
      <c r="F454" s="21">
        <f t="shared" si="30"/>
        <v>280.8</v>
      </c>
      <c r="G454" s="21"/>
      <c r="H454" s="21"/>
    </row>
    <row r="455" s="7" customFormat="1" spans="1:8">
      <c r="A455" s="37"/>
      <c r="B455" s="95" t="s">
        <v>589</v>
      </c>
      <c r="C455" s="87"/>
      <c r="D455" s="96">
        <v>1</v>
      </c>
      <c r="E455" s="98">
        <v>679.5</v>
      </c>
      <c r="F455" s="21">
        <f t="shared" si="30"/>
        <v>679.5</v>
      </c>
      <c r="G455" s="21"/>
      <c r="H455" s="21"/>
    </row>
    <row r="456" s="7" customFormat="1" spans="1:8">
      <c r="A456" s="37"/>
      <c r="B456" s="95" t="s">
        <v>636</v>
      </c>
      <c r="C456" s="87"/>
      <c r="D456" s="96">
        <v>2</v>
      </c>
      <c r="E456" s="98">
        <v>126.9</v>
      </c>
      <c r="F456" s="21">
        <f t="shared" si="30"/>
        <v>253.8</v>
      </c>
      <c r="G456" s="21"/>
      <c r="H456" s="21"/>
    </row>
    <row r="457" s="7" customFormat="1" spans="1:8">
      <c r="A457" s="37"/>
      <c r="B457" s="95" t="s">
        <v>655</v>
      </c>
      <c r="C457" s="87"/>
      <c r="D457" s="96">
        <v>1</v>
      </c>
      <c r="E457" s="98">
        <v>133.2</v>
      </c>
      <c r="F457" s="21">
        <f t="shared" si="30"/>
        <v>133.2</v>
      </c>
      <c r="G457" s="21"/>
      <c r="H457" s="21"/>
    </row>
    <row r="458" s="7" customFormat="1" spans="1:8">
      <c r="A458" s="37"/>
      <c r="B458" s="95" t="s">
        <v>641</v>
      </c>
      <c r="C458" s="87"/>
      <c r="D458" s="96">
        <v>1</v>
      </c>
      <c r="E458" s="98">
        <v>19.8</v>
      </c>
      <c r="F458" s="21">
        <f t="shared" si="30"/>
        <v>19.8</v>
      </c>
      <c r="G458" s="21"/>
      <c r="H458" s="21"/>
    </row>
    <row r="459" s="7" customFormat="1" spans="1:8">
      <c r="A459" s="37"/>
      <c r="B459" s="95" t="s">
        <v>625</v>
      </c>
      <c r="C459" s="87"/>
      <c r="D459" s="96">
        <v>1</v>
      </c>
      <c r="E459" s="97">
        <v>1356.3</v>
      </c>
      <c r="F459" s="21">
        <f t="shared" si="30"/>
        <v>1356.3</v>
      </c>
      <c r="G459" s="21"/>
      <c r="H459" s="21"/>
    </row>
    <row r="460" s="7" customFormat="1" ht="22.5" spans="1:8">
      <c r="A460" s="37"/>
      <c r="B460" s="95" t="s">
        <v>673</v>
      </c>
      <c r="C460" s="87"/>
      <c r="D460" s="96">
        <v>1</v>
      </c>
      <c r="E460" s="98">
        <v>380.7</v>
      </c>
      <c r="F460" s="21">
        <f t="shared" si="30"/>
        <v>380.7</v>
      </c>
      <c r="G460" s="21"/>
      <c r="H460" s="21"/>
    </row>
    <row r="461" s="7" customFormat="1" spans="1:8">
      <c r="A461" s="37"/>
      <c r="B461" s="95" t="s">
        <v>674</v>
      </c>
      <c r="C461" s="87"/>
      <c r="D461" s="96">
        <v>1</v>
      </c>
      <c r="E461" s="98">
        <v>572.4</v>
      </c>
      <c r="F461" s="21">
        <f t="shared" si="30"/>
        <v>572.4</v>
      </c>
      <c r="G461" s="21"/>
      <c r="H461" s="21"/>
    </row>
    <row r="462" s="7" customFormat="1" spans="1:8">
      <c r="A462" s="37"/>
      <c r="B462" s="95" t="s">
        <v>585</v>
      </c>
      <c r="C462" s="87"/>
      <c r="D462" s="96">
        <v>1</v>
      </c>
      <c r="E462" s="98">
        <v>518.4</v>
      </c>
      <c r="F462" s="21">
        <f t="shared" si="30"/>
        <v>518.4</v>
      </c>
      <c r="G462" s="21"/>
      <c r="H462" s="21"/>
    </row>
    <row r="463" s="7" customFormat="1" spans="1:8">
      <c r="A463" s="37"/>
      <c r="B463" s="95" t="s">
        <v>608</v>
      </c>
      <c r="C463" s="87"/>
      <c r="D463" s="96">
        <v>1</v>
      </c>
      <c r="E463" s="98">
        <v>100.8</v>
      </c>
      <c r="F463" s="21">
        <f t="shared" si="30"/>
        <v>100.8</v>
      </c>
      <c r="G463" s="21"/>
      <c r="H463" s="21"/>
    </row>
    <row r="464" s="7" customFormat="1" spans="1:8">
      <c r="A464" s="37"/>
      <c r="B464" s="95" t="s">
        <v>667</v>
      </c>
      <c r="C464" s="87"/>
      <c r="D464" s="96">
        <v>1</v>
      </c>
      <c r="E464" s="98">
        <v>45</v>
      </c>
      <c r="F464" s="21">
        <f t="shared" si="30"/>
        <v>45</v>
      </c>
      <c r="G464" s="21"/>
      <c r="H464" s="21"/>
    </row>
    <row r="465" s="7" customFormat="1" spans="1:8">
      <c r="A465" s="37"/>
      <c r="B465" s="95" t="s">
        <v>675</v>
      </c>
      <c r="C465" s="87"/>
      <c r="D465" s="96">
        <v>1</v>
      </c>
      <c r="E465" s="98">
        <v>100.8</v>
      </c>
      <c r="F465" s="21">
        <f t="shared" si="30"/>
        <v>100.8</v>
      </c>
      <c r="G465" s="21"/>
      <c r="H465" s="21"/>
    </row>
    <row r="466" s="7" customFormat="1" spans="1:8">
      <c r="A466" s="37"/>
      <c r="B466" s="95" t="s">
        <v>676</v>
      </c>
      <c r="C466" s="87"/>
      <c r="D466" s="96">
        <v>1</v>
      </c>
      <c r="E466" s="98">
        <v>94.5</v>
      </c>
      <c r="F466" s="21">
        <f t="shared" si="30"/>
        <v>94.5</v>
      </c>
      <c r="G466" s="21"/>
      <c r="H466" s="21"/>
    </row>
    <row r="467" s="7" customFormat="1" spans="1:8">
      <c r="A467" s="37"/>
      <c r="B467" s="95" t="s">
        <v>677</v>
      </c>
      <c r="C467" s="87"/>
      <c r="D467" s="96">
        <v>1</v>
      </c>
      <c r="E467" s="98">
        <v>117</v>
      </c>
      <c r="F467" s="21">
        <f t="shared" si="30"/>
        <v>117</v>
      </c>
      <c r="G467" s="21"/>
      <c r="H467" s="21"/>
    </row>
    <row r="468" s="7" customFormat="1" ht="33.75" spans="1:8">
      <c r="A468" s="37"/>
      <c r="B468" s="95" t="s">
        <v>665</v>
      </c>
      <c r="C468" s="87"/>
      <c r="D468" s="96">
        <v>1</v>
      </c>
      <c r="E468" s="98">
        <v>159.3</v>
      </c>
      <c r="F468" s="21">
        <f t="shared" si="30"/>
        <v>159.3</v>
      </c>
      <c r="G468" s="21"/>
      <c r="H468" s="21"/>
    </row>
    <row r="469" s="7" customFormat="1" spans="1:8">
      <c r="A469" s="37"/>
      <c r="B469" s="95" t="s">
        <v>611</v>
      </c>
      <c r="C469" s="87"/>
      <c r="D469" s="96">
        <v>1</v>
      </c>
      <c r="E469" s="98">
        <v>84.6</v>
      </c>
      <c r="F469" s="21">
        <f t="shared" si="30"/>
        <v>84.6</v>
      </c>
      <c r="G469" s="21"/>
      <c r="H469" s="21"/>
    </row>
    <row r="470" s="7" customFormat="1" spans="1:8">
      <c r="A470" s="37"/>
      <c r="B470" s="95" t="s">
        <v>611</v>
      </c>
      <c r="C470" s="87"/>
      <c r="D470" s="96">
        <v>1</v>
      </c>
      <c r="E470" s="98">
        <v>84.6</v>
      </c>
      <c r="F470" s="21">
        <f t="shared" si="30"/>
        <v>84.6</v>
      </c>
      <c r="G470" s="21"/>
      <c r="H470" s="21"/>
    </row>
    <row r="471" s="7" customFormat="1" spans="1:8">
      <c r="A471" s="37"/>
      <c r="B471" s="95" t="s">
        <v>623</v>
      </c>
      <c r="C471" s="87"/>
      <c r="D471" s="96">
        <v>1</v>
      </c>
      <c r="E471" s="98">
        <v>176.4</v>
      </c>
      <c r="F471" s="21">
        <f t="shared" si="30"/>
        <v>176.4</v>
      </c>
      <c r="G471" s="21"/>
      <c r="H471" s="21"/>
    </row>
    <row r="472" s="7" customFormat="1" spans="1:8">
      <c r="A472" s="37"/>
      <c r="B472" s="95" t="s">
        <v>601</v>
      </c>
      <c r="C472" s="87"/>
      <c r="D472" s="96">
        <v>4</v>
      </c>
      <c r="E472" s="98">
        <v>229.5</v>
      </c>
      <c r="F472" s="21">
        <f t="shared" si="30"/>
        <v>918</v>
      </c>
      <c r="G472" s="21"/>
      <c r="H472" s="21"/>
    </row>
    <row r="473" s="7" customFormat="1" spans="1:8">
      <c r="A473" s="37"/>
      <c r="B473" s="95" t="s">
        <v>623</v>
      </c>
      <c r="C473" s="87"/>
      <c r="D473" s="96">
        <v>1</v>
      </c>
      <c r="E473" s="98">
        <v>220.5</v>
      </c>
      <c r="F473" s="21">
        <f t="shared" si="30"/>
        <v>220.5</v>
      </c>
      <c r="G473" s="21"/>
      <c r="H473" s="21"/>
    </row>
    <row r="474" s="7" customFormat="1" spans="1:8">
      <c r="A474" s="37"/>
      <c r="B474" s="95" t="s">
        <v>611</v>
      </c>
      <c r="C474" s="87"/>
      <c r="D474" s="96">
        <v>1</v>
      </c>
      <c r="E474" s="98">
        <v>108.9</v>
      </c>
      <c r="F474" s="21">
        <f t="shared" si="30"/>
        <v>108.9</v>
      </c>
      <c r="G474" s="21"/>
      <c r="H474" s="21"/>
    </row>
    <row r="475" s="7" customFormat="1" spans="1:8">
      <c r="A475" s="37"/>
      <c r="B475" s="95" t="s">
        <v>611</v>
      </c>
      <c r="C475" s="87"/>
      <c r="D475" s="96">
        <v>1</v>
      </c>
      <c r="E475" s="98">
        <v>27.9</v>
      </c>
      <c r="F475" s="21">
        <f t="shared" si="30"/>
        <v>27.9</v>
      </c>
      <c r="G475" s="21"/>
      <c r="H475" s="21"/>
    </row>
    <row r="476" s="7" customFormat="1" spans="1:8">
      <c r="A476" s="37"/>
      <c r="B476" s="95" t="s">
        <v>598</v>
      </c>
      <c r="C476" s="87"/>
      <c r="D476" s="96">
        <v>1</v>
      </c>
      <c r="E476" s="98">
        <v>139.5</v>
      </c>
      <c r="F476" s="21">
        <f t="shared" si="30"/>
        <v>139.5</v>
      </c>
      <c r="G476" s="21"/>
      <c r="H476" s="21"/>
    </row>
    <row r="477" s="7" customFormat="1" spans="1:8">
      <c r="A477" s="37"/>
      <c r="B477" s="95" t="s">
        <v>601</v>
      </c>
      <c r="C477" s="87"/>
      <c r="D477" s="96">
        <v>2</v>
      </c>
      <c r="E477" s="98">
        <v>229.5</v>
      </c>
      <c r="F477" s="21">
        <f t="shared" si="30"/>
        <v>459</v>
      </c>
      <c r="G477" s="21"/>
      <c r="H477" s="21"/>
    </row>
    <row r="478" s="7" customFormat="1" spans="1:8">
      <c r="A478" s="37"/>
      <c r="B478" s="95" t="s">
        <v>623</v>
      </c>
      <c r="C478" s="87"/>
      <c r="D478" s="96">
        <v>1</v>
      </c>
      <c r="E478" s="98">
        <v>100.8</v>
      </c>
      <c r="F478" s="21">
        <f t="shared" si="30"/>
        <v>100.8</v>
      </c>
      <c r="G478" s="21"/>
      <c r="H478" s="21"/>
    </row>
    <row r="479" s="7" customFormat="1" spans="1:8">
      <c r="A479" s="37"/>
      <c r="B479" s="95" t="s">
        <v>641</v>
      </c>
      <c r="C479" s="87"/>
      <c r="D479" s="96">
        <v>1</v>
      </c>
      <c r="E479" s="98">
        <v>20.7</v>
      </c>
      <c r="F479" s="21">
        <f t="shared" ref="F479:F516" si="31">D479*E479</f>
        <v>20.7</v>
      </c>
      <c r="G479" s="21"/>
      <c r="H479" s="21"/>
    </row>
    <row r="480" s="7" customFormat="1" ht="22.5" spans="1:8">
      <c r="A480" s="37"/>
      <c r="B480" s="95" t="s">
        <v>658</v>
      </c>
      <c r="C480" s="87"/>
      <c r="D480" s="96">
        <v>1</v>
      </c>
      <c r="E480" s="98">
        <v>143.1</v>
      </c>
      <c r="F480" s="21">
        <f t="shared" si="31"/>
        <v>143.1</v>
      </c>
      <c r="G480" s="21"/>
      <c r="H480" s="21"/>
    </row>
    <row r="481" s="7" customFormat="1" ht="22.5" spans="1:8">
      <c r="A481" s="37"/>
      <c r="B481" s="95" t="s">
        <v>658</v>
      </c>
      <c r="C481" s="87"/>
      <c r="D481" s="96">
        <v>1</v>
      </c>
      <c r="E481" s="98">
        <v>91.8</v>
      </c>
      <c r="F481" s="21">
        <f t="shared" si="31"/>
        <v>91.8</v>
      </c>
      <c r="G481" s="21"/>
      <c r="H481" s="21"/>
    </row>
    <row r="482" s="7" customFormat="1" ht="22.5" spans="1:8">
      <c r="A482" s="37"/>
      <c r="B482" s="95" t="s">
        <v>658</v>
      </c>
      <c r="C482" s="87"/>
      <c r="D482" s="96">
        <v>2</v>
      </c>
      <c r="E482" s="98">
        <v>143.1</v>
      </c>
      <c r="F482" s="21">
        <f t="shared" si="31"/>
        <v>286.2</v>
      </c>
      <c r="G482" s="21"/>
      <c r="H482" s="21"/>
    </row>
    <row r="483" s="7" customFormat="1" ht="22.5" spans="1:8">
      <c r="A483" s="37"/>
      <c r="B483" s="95" t="s">
        <v>658</v>
      </c>
      <c r="C483" s="87"/>
      <c r="D483" s="96">
        <v>1</v>
      </c>
      <c r="E483" s="98">
        <v>102.6</v>
      </c>
      <c r="F483" s="21">
        <f t="shared" si="31"/>
        <v>102.6</v>
      </c>
      <c r="G483" s="21"/>
      <c r="H483" s="21"/>
    </row>
    <row r="484" s="7" customFormat="1" ht="22.5" spans="1:8">
      <c r="A484" s="37"/>
      <c r="B484" s="95" t="s">
        <v>658</v>
      </c>
      <c r="C484" s="87"/>
      <c r="D484" s="96">
        <v>1</v>
      </c>
      <c r="E484" s="98">
        <v>56.7</v>
      </c>
      <c r="F484" s="21">
        <f t="shared" si="31"/>
        <v>56.7</v>
      </c>
      <c r="G484" s="21"/>
      <c r="H484" s="21"/>
    </row>
    <row r="485" s="7" customFormat="1" ht="22.5" spans="1:8">
      <c r="A485" s="37"/>
      <c r="B485" s="95" t="s">
        <v>658</v>
      </c>
      <c r="C485" s="87"/>
      <c r="D485" s="96">
        <v>1</v>
      </c>
      <c r="E485" s="98">
        <v>56.7</v>
      </c>
      <c r="F485" s="21">
        <f t="shared" si="31"/>
        <v>56.7</v>
      </c>
      <c r="G485" s="21"/>
      <c r="H485" s="21"/>
    </row>
    <row r="486" s="7" customFormat="1" ht="22.5" spans="1:8">
      <c r="A486" s="37"/>
      <c r="B486" s="95" t="s">
        <v>658</v>
      </c>
      <c r="C486" s="87"/>
      <c r="D486" s="96">
        <v>1</v>
      </c>
      <c r="E486" s="98">
        <v>56.7</v>
      </c>
      <c r="F486" s="21">
        <f t="shared" si="31"/>
        <v>56.7</v>
      </c>
      <c r="G486" s="21"/>
      <c r="H486" s="21"/>
    </row>
    <row r="487" s="7" customFormat="1" ht="22.5" spans="1:8">
      <c r="A487" s="37"/>
      <c r="B487" s="95" t="s">
        <v>658</v>
      </c>
      <c r="C487" s="87"/>
      <c r="D487" s="96">
        <v>1</v>
      </c>
      <c r="E487" s="98">
        <v>56.7</v>
      </c>
      <c r="F487" s="21">
        <f t="shared" si="31"/>
        <v>56.7</v>
      </c>
      <c r="G487" s="21"/>
      <c r="H487" s="21"/>
    </row>
    <row r="488" s="7" customFormat="1" ht="22.5" spans="1:8">
      <c r="A488" s="37"/>
      <c r="B488" s="95" t="s">
        <v>658</v>
      </c>
      <c r="C488" s="87"/>
      <c r="D488" s="96">
        <v>1</v>
      </c>
      <c r="E488" s="98">
        <v>56.7</v>
      </c>
      <c r="F488" s="21">
        <f t="shared" si="31"/>
        <v>56.7</v>
      </c>
      <c r="G488" s="21"/>
      <c r="H488" s="21"/>
    </row>
    <row r="489" s="7" customFormat="1" ht="22.5" spans="1:8">
      <c r="A489" s="37"/>
      <c r="B489" s="95" t="s">
        <v>658</v>
      </c>
      <c r="C489" s="87"/>
      <c r="D489" s="96">
        <v>1</v>
      </c>
      <c r="E489" s="98">
        <v>56.7</v>
      </c>
      <c r="F489" s="21">
        <f t="shared" si="31"/>
        <v>56.7</v>
      </c>
      <c r="G489" s="21"/>
      <c r="H489" s="21"/>
    </row>
    <row r="490" s="7" customFormat="1" ht="22.5" spans="1:8">
      <c r="A490" s="37"/>
      <c r="B490" s="95" t="s">
        <v>658</v>
      </c>
      <c r="C490" s="87"/>
      <c r="D490" s="96">
        <v>1</v>
      </c>
      <c r="E490" s="98">
        <v>56.7</v>
      </c>
      <c r="F490" s="21">
        <f t="shared" si="31"/>
        <v>56.7</v>
      </c>
      <c r="G490" s="21"/>
      <c r="H490" s="21"/>
    </row>
    <row r="491" s="7" customFormat="1" spans="1:8">
      <c r="A491" s="37"/>
      <c r="B491" s="95" t="s">
        <v>601</v>
      </c>
      <c r="C491" s="87"/>
      <c r="D491" s="96">
        <v>2</v>
      </c>
      <c r="E491" s="98">
        <v>180</v>
      </c>
      <c r="F491" s="21">
        <f t="shared" si="31"/>
        <v>360</v>
      </c>
      <c r="G491" s="21"/>
      <c r="H491" s="21"/>
    </row>
    <row r="492" s="7" customFormat="1" spans="1:8">
      <c r="A492" s="37"/>
      <c r="B492" s="95" t="s">
        <v>589</v>
      </c>
      <c r="C492" s="87"/>
      <c r="D492" s="96">
        <v>2</v>
      </c>
      <c r="E492" s="98">
        <v>134.1</v>
      </c>
      <c r="F492" s="21">
        <f t="shared" si="31"/>
        <v>268.2</v>
      </c>
      <c r="G492" s="21"/>
      <c r="H492" s="21"/>
    </row>
    <row r="493" s="7" customFormat="1" spans="1:8">
      <c r="A493" s="37"/>
      <c r="B493" s="95" t="s">
        <v>644</v>
      </c>
      <c r="C493" s="87"/>
      <c r="D493" s="96">
        <v>2</v>
      </c>
      <c r="E493" s="98">
        <v>192.6</v>
      </c>
      <c r="F493" s="21">
        <f t="shared" si="31"/>
        <v>385.2</v>
      </c>
      <c r="G493" s="21"/>
      <c r="H493" s="21"/>
    </row>
    <row r="494" s="7" customFormat="1" spans="1:8">
      <c r="A494" s="37"/>
      <c r="B494" s="95" t="s">
        <v>589</v>
      </c>
      <c r="C494" s="87"/>
      <c r="D494" s="96">
        <v>1</v>
      </c>
      <c r="E494" s="98">
        <v>258.3</v>
      </c>
      <c r="F494" s="21">
        <f t="shared" si="31"/>
        <v>258.3</v>
      </c>
      <c r="G494" s="21"/>
      <c r="H494" s="21"/>
    </row>
    <row r="495" s="7" customFormat="1" spans="1:8">
      <c r="A495" s="37"/>
      <c r="B495" s="95" t="s">
        <v>610</v>
      </c>
      <c r="C495" s="87"/>
      <c r="D495" s="96">
        <v>1</v>
      </c>
      <c r="E495" s="98">
        <v>440.1</v>
      </c>
      <c r="F495" s="21">
        <f t="shared" si="31"/>
        <v>440.1</v>
      </c>
      <c r="G495" s="21"/>
      <c r="H495" s="21"/>
    </row>
    <row r="496" s="7" customFormat="1" spans="1:8">
      <c r="A496" s="37"/>
      <c r="B496" s="95" t="s">
        <v>630</v>
      </c>
      <c r="C496" s="87"/>
      <c r="D496" s="96">
        <v>3</v>
      </c>
      <c r="E496" s="98">
        <v>124.2</v>
      </c>
      <c r="F496" s="21">
        <f t="shared" si="31"/>
        <v>372.6</v>
      </c>
      <c r="G496" s="21"/>
      <c r="H496" s="21"/>
    </row>
    <row r="497" s="7" customFormat="1" spans="1:8">
      <c r="A497" s="37"/>
      <c r="B497" s="95" t="s">
        <v>630</v>
      </c>
      <c r="C497" s="87"/>
      <c r="D497" s="96">
        <v>3</v>
      </c>
      <c r="E497" s="98">
        <v>150.3</v>
      </c>
      <c r="F497" s="21">
        <f t="shared" si="31"/>
        <v>450.9</v>
      </c>
      <c r="G497" s="21"/>
      <c r="H497" s="21"/>
    </row>
    <row r="498" s="7" customFormat="1" spans="1:8">
      <c r="A498" s="37"/>
      <c r="B498" s="95" t="s">
        <v>623</v>
      </c>
      <c r="C498" s="87"/>
      <c r="D498" s="96">
        <v>1</v>
      </c>
      <c r="E498" s="98">
        <v>128.7</v>
      </c>
      <c r="F498" s="21">
        <f t="shared" si="31"/>
        <v>128.7</v>
      </c>
      <c r="G498" s="21"/>
      <c r="H498" s="21"/>
    </row>
    <row r="499" s="7" customFormat="1" spans="1:8">
      <c r="A499" s="37"/>
      <c r="B499" s="95" t="s">
        <v>611</v>
      </c>
      <c r="C499" s="87"/>
      <c r="D499" s="96">
        <v>1</v>
      </c>
      <c r="E499" s="98">
        <v>71.1</v>
      </c>
      <c r="F499" s="21">
        <f t="shared" si="31"/>
        <v>71.1</v>
      </c>
      <c r="G499" s="21"/>
      <c r="H499" s="21"/>
    </row>
    <row r="500" s="7" customFormat="1" spans="1:8">
      <c r="A500" s="37"/>
      <c r="B500" s="95" t="s">
        <v>585</v>
      </c>
      <c r="C500" s="87"/>
      <c r="D500" s="96">
        <v>4</v>
      </c>
      <c r="E500" s="98">
        <v>498.6</v>
      </c>
      <c r="F500" s="21">
        <f t="shared" si="31"/>
        <v>1994.4</v>
      </c>
      <c r="G500" s="21"/>
      <c r="H500" s="21"/>
    </row>
    <row r="501" s="7" customFormat="1" spans="1:8">
      <c r="A501" s="37"/>
      <c r="B501" s="95" t="s">
        <v>648</v>
      </c>
      <c r="C501" s="87"/>
      <c r="D501" s="96">
        <v>1</v>
      </c>
      <c r="E501" s="98">
        <v>136.8</v>
      </c>
      <c r="F501" s="21">
        <f t="shared" si="31"/>
        <v>136.8</v>
      </c>
      <c r="G501" s="21"/>
      <c r="H501" s="21"/>
    </row>
    <row r="502" s="7" customFormat="1" spans="1:8">
      <c r="A502" s="37"/>
      <c r="B502" s="95" t="s">
        <v>601</v>
      </c>
      <c r="C502" s="87"/>
      <c r="D502" s="96">
        <v>1</v>
      </c>
      <c r="E502" s="98">
        <v>278.1</v>
      </c>
      <c r="F502" s="21">
        <f t="shared" si="31"/>
        <v>278.1</v>
      </c>
      <c r="G502" s="21"/>
      <c r="H502" s="21"/>
    </row>
    <row r="503" s="7" customFormat="1" spans="1:8">
      <c r="A503" s="37"/>
      <c r="B503" s="95" t="s">
        <v>611</v>
      </c>
      <c r="C503" s="87"/>
      <c r="D503" s="96">
        <v>1</v>
      </c>
      <c r="E503" s="98">
        <v>100.8</v>
      </c>
      <c r="F503" s="21">
        <f t="shared" si="31"/>
        <v>100.8</v>
      </c>
      <c r="G503" s="21"/>
      <c r="H503" s="21"/>
    </row>
    <row r="504" s="7" customFormat="1" spans="1:8">
      <c r="A504" s="37"/>
      <c r="B504" s="95" t="s">
        <v>611</v>
      </c>
      <c r="C504" s="87"/>
      <c r="D504" s="96">
        <v>1</v>
      </c>
      <c r="E504" s="98">
        <v>85.5</v>
      </c>
      <c r="F504" s="21">
        <f t="shared" si="31"/>
        <v>85.5</v>
      </c>
      <c r="G504" s="21"/>
      <c r="H504" s="21"/>
    </row>
    <row r="505" s="7" customFormat="1" spans="1:8">
      <c r="A505" s="37"/>
      <c r="B505" s="95" t="s">
        <v>598</v>
      </c>
      <c r="C505" s="87"/>
      <c r="D505" s="96">
        <v>1</v>
      </c>
      <c r="E505" s="98">
        <v>191.7</v>
      </c>
      <c r="F505" s="21">
        <f t="shared" si="31"/>
        <v>191.7</v>
      </c>
      <c r="G505" s="21"/>
      <c r="H505" s="21"/>
    </row>
    <row r="506" s="7" customFormat="1" spans="1:8">
      <c r="A506" s="37"/>
      <c r="B506" s="95" t="s">
        <v>598</v>
      </c>
      <c r="C506" s="87"/>
      <c r="D506" s="96">
        <v>1</v>
      </c>
      <c r="E506" s="98">
        <v>242</v>
      </c>
      <c r="F506" s="21">
        <f t="shared" si="31"/>
        <v>242</v>
      </c>
      <c r="G506" s="21"/>
      <c r="H506" s="21"/>
    </row>
    <row r="507" s="7" customFormat="1" spans="1:8">
      <c r="A507" s="37"/>
      <c r="B507" s="95" t="s">
        <v>598</v>
      </c>
      <c r="C507" s="87"/>
      <c r="D507" s="96">
        <v>1</v>
      </c>
      <c r="E507" s="98">
        <v>259.2</v>
      </c>
      <c r="F507" s="21">
        <f t="shared" si="31"/>
        <v>259.2</v>
      </c>
      <c r="G507" s="21"/>
      <c r="H507" s="21"/>
    </row>
    <row r="508" s="7" customFormat="1" spans="1:8">
      <c r="A508" s="37"/>
      <c r="B508" s="95" t="s">
        <v>585</v>
      </c>
      <c r="C508" s="87"/>
      <c r="D508" s="96">
        <v>1</v>
      </c>
      <c r="E508" s="98">
        <v>225.9</v>
      </c>
      <c r="F508" s="21">
        <f t="shared" si="31"/>
        <v>225.9</v>
      </c>
      <c r="G508" s="21"/>
      <c r="H508" s="21"/>
    </row>
    <row r="509" s="7" customFormat="1" spans="1:8">
      <c r="A509" s="37"/>
      <c r="B509" s="95" t="s">
        <v>585</v>
      </c>
      <c r="C509" s="87"/>
      <c r="D509" s="96">
        <v>1</v>
      </c>
      <c r="E509" s="98">
        <v>126.9</v>
      </c>
      <c r="F509" s="21">
        <f t="shared" si="31"/>
        <v>126.9</v>
      </c>
      <c r="G509" s="21"/>
      <c r="H509" s="21"/>
    </row>
    <row r="510" s="7" customFormat="1" spans="1:8">
      <c r="A510" s="37"/>
      <c r="B510" s="95" t="s">
        <v>585</v>
      </c>
      <c r="C510" s="87"/>
      <c r="D510" s="96">
        <v>1</v>
      </c>
      <c r="E510" s="98">
        <v>174.6</v>
      </c>
      <c r="F510" s="21">
        <f t="shared" si="31"/>
        <v>174.6</v>
      </c>
      <c r="G510" s="21"/>
      <c r="H510" s="21"/>
    </row>
    <row r="511" s="7" customFormat="1" spans="1:8">
      <c r="A511" s="37"/>
      <c r="B511" s="95" t="s">
        <v>611</v>
      </c>
      <c r="C511" s="87"/>
      <c r="D511" s="96">
        <v>1</v>
      </c>
      <c r="E511" s="98">
        <v>100.8</v>
      </c>
      <c r="F511" s="21">
        <f t="shared" si="31"/>
        <v>100.8</v>
      </c>
      <c r="G511" s="21"/>
      <c r="H511" s="21"/>
    </row>
    <row r="512" s="7" customFormat="1" spans="1:8">
      <c r="A512" s="37"/>
      <c r="B512" s="95" t="s">
        <v>611</v>
      </c>
      <c r="C512" s="87"/>
      <c r="D512" s="96">
        <v>1</v>
      </c>
      <c r="E512" s="98">
        <v>100.8</v>
      </c>
      <c r="F512" s="21">
        <f t="shared" si="31"/>
        <v>100.8</v>
      </c>
      <c r="G512" s="21"/>
      <c r="H512" s="21"/>
    </row>
    <row r="513" ht="22.5" spans="1:8">
      <c r="A513" s="37"/>
      <c r="B513" s="95" t="s">
        <v>658</v>
      </c>
      <c r="C513" s="87"/>
      <c r="D513" s="96">
        <v>1</v>
      </c>
      <c r="E513" s="98">
        <v>189</v>
      </c>
      <c r="F513" s="21">
        <f t="shared" si="31"/>
        <v>189</v>
      </c>
      <c r="G513" s="21"/>
      <c r="H513" s="21"/>
    </row>
    <row r="514" spans="1:8">
      <c r="A514" s="37"/>
      <c r="B514" s="95" t="s">
        <v>593</v>
      </c>
      <c r="C514" s="87"/>
      <c r="D514" s="96">
        <v>1</v>
      </c>
      <c r="E514" s="98">
        <v>143.1</v>
      </c>
      <c r="F514" s="21">
        <f t="shared" si="31"/>
        <v>143.1</v>
      </c>
      <c r="G514" s="21"/>
      <c r="H514" s="21"/>
    </row>
    <row r="515" spans="1:8">
      <c r="A515" s="37"/>
      <c r="B515" s="95" t="s">
        <v>609</v>
      </c>
      <c r="C515" s="87"/>
      <c r="D515" s="96">
        <v>1</v>
      </c>
      <c r="E515" s="98">
        <v>122.4</v>
      </c>
      <c r="F515" s="21">
        <f t="shared" si="31"/>
        <v>122.4</v>
      </c>
      <c r="G515" s="21"/>
      <c r="H515" s="21"/>
    </row>
    <row r="516" ht="22.5" spans="1:8">
      <c r="A516" s="37"/>
      <c r="B516" s="95" t="s">
        <v>678</v>
      </c>
      <c r="C516" s="87"/>
      <c r="D516" s="96">
        <v>1</v>
      </c>
      <c r="E516" s="98">
        <v>101.7</v>
      </c>
      <c r="F516" s="21">
        <f t="shared" si="31"/>
        <v>101.7</v>
      </c>
      <c r="G516" s="21"/>
      <c r="H516" s="21"/>
    </row>
    <row r="517" hidden="1" spans="1:8">
      <c r="A517" s="37"/>
      <c r="B517" s="86"/>
      <c r="C517" s="87"/>
      <c r="D517" s="87"/>
      <c r="E517" s="21"/>
      <c r="F517" s="21"/>
      <c r="G517" s="21"/>
      <c r="H517" s="21"/>
    </row>
    <row r="518" hidden="1" spans="1:8">
      <c r="A518" s="37"/>
      <c r="B518" s="86"/>
      <c r="C518" s="87"/>
      <c r="D518" s="87"/>
      <c r="E518" s="21"/>
      <c r="F518" s="21"/>
      <c r="G518" s="21"/>
      <c r="H518" s="21"/>
    </row>
    <row r="519" hidden="1" spans="1:12">
      <c r="A519" s="37"/>
      <c r="B519" s="86"/>
      <c r="C519" s="87"/>
      <c r="D519" s="87"/>
      <c r="E519" s="21"/>
      <c r="F519" s="21"/>
      <c r="G519" s="21"/>
      <c r="H519" s="21"/>
      <c r="L519" s="63"/>
    </row>
    <row r="520" hidden="1" spans="1:8">
      <c r="A520" s="37"/>
      <c r="B520" s="86"/>
      <c r="C520" s="87"/>
      <c r="D520" s="87"/>
      <c r="E520" s="21"/>
      <c r="F520" s="21"/>
      <c r="G520" s="21"/>
      <c r="H520" s="21"/>
    </row>
    <row r="521" hidden="1" spans="1:8">
      <c r="A521" s="37"/>
      <c r="B521" s="86"/>
      <c r="C521" s="87"/>
      <c r="D521" s="87"/>
      <c r="E521" s="21"/>
      <c r="F521" s="21"/>
      <c r="G521" s="21"/>
      <c r="H521" s="21"/>
    </row>
    <row r="522" hidden="1" spans="1:8">
      <c r="A522" s="37"/>
      <c r="B522" s="86"/>
      <c r="C522" s="87"/>
      <c r="D522" s="87"/>
      <c r="E522" s="21"/>
      <c r="F522" s="21"/>
      <c r="G522" s="21"/>
      <c r="H522" s="21"/>
    </row>
    <row r="523" hidden="1" spans="1:8">
      <c r="A523" s="37"/>
      <c r="B523" s="86"/>
      <c r="C523" s="87"/>
      <c r="D523" s="87"/>
      <c r="E523" s="21"/>
      <c r="F523" s="21"/>
      <c r="G523" s="21"/>
      <c r="H523" s="21"/>
    </row>
    <row r="524" hidden="1" spans="1:8">
      <c r="A524" s="37"/>
      <c r="B524" s="86"/>
      <c r="C524" s="87"/>
      <c r="D524" s="87"/>
      <c r="E524" s="21"/>
      <c r="F524" s="21"/>
      <c r="G524" s="21"/>
      <c r="H524" s="21"/>
    </row>
    <row r="525" hidden="1" spans="1:8">
      <c r="A525" s="37"/>
      <c r="B525" s="86"/>
      <c r="C525" s="87"/>
      <c r="D525" s="87"/>
      <c r="E525" s="21"/>
      <c r="F525" s="21"/>
      <c r="G525" s="21"/>
      <c r="H525" s="21"/>
    </row>
    <row r="526" hidden="1" spans="1:8">
      <c r="A526" s="37"/>
      <c r="B526" s="86"/>
      <c r="C526" s="87"/>
      <c r="D526" s="87"/>
      <c r="E526" s="21"/>
      <c r="F526" s="21"/>
      <c r="G526" s="21"/>
      <c r="H526" s="21"/>
    </row>
    <row r="527" hidden="1" spans="1:8">
      <c r="A527" s="37"/>
      <c r="B527" s="86"/>
      <c r="C527" s="87"/>
      <c r="D527" s="87"/>
      <c r="E527" s="21"/>
      <c r="F527" s="21"/>
      <c r="G527" s="21"/>
      <c r="H527" s="21"/>
    </row>
    <row r="528" hidden="1" spans="1:8">
      <c r="A528" s="37"/>
      <c r="B528" s="86"/>
      <c r="C528" s="87"/>
      <c r="D528" s="87"/>
      <c r="E528" s="21"/>
      <c r="F528" s="21"/>
      <c r="G528" s="21"/>
      <c r="H528" s="21"/>
    </row>
    <row r="529" s="7" customFormat="1" hidden="1" spans="1:8">
      <c r="A529" s="37"/>
      <c r="B529" s="86"/>
      <c r="C529" s="87"/>
      <c r="D529" s="87"/>
      <c r="E529" s="21"/>
      <c r="F529" s="21"/>
      <c r="G529" s="21"/>
      <c r="H529" s="21"/>
    </row>
    <row r="530" s="7" customFormat="1" hidden="1" spans="1:8">
      <c r="A530" s="37"/>
      <c r="B530" s="86"/>
      <c r="C530" s="87"/>
      <c r="D530" s="87"/>
      <c r="E530" s="21"/>
      <c r="F530" s="21"/>
      <c r="G530" s="21"/>
      <c r="H530" s="21"/>
    </row>
    <row r="531" s="7" customFormat="1" hidden="1" spans="1:8">
      <c r="A531" s="37"/>
      <c r="B531" s="86"/>
      <c r="C531" s="87"/>
      <c r="D531" s="87"/>
      <c r="E531" s="21"/>
      <c r="F531" s="21"/>
      <c r="G531" s="21"/>
      <c r="H531" s="21"/>
    </row>
    <row r="532" s="7" customFormat="1" hidden="1" spans="1:8">
      <c r="A532" s="37"/>
      <c r="B532" s="86"/>
      <c r="C532" s="87"/>
      <c r="D532" s="87"/>
      <c r="E532" s="21"/>
      <c r="F532" s="21"/>
      <c r="G532" s="21"/>
      <c r="H532" s="21"/>
    </row>
    <row r="533" s="7" customFormat="1" hidden="1" spans="1:8">
      <c r="A533" s="37"/>
      <c r="B533" s="86"/>
      <c r="C533" s="87"/>
      <c r="D533" s="87"/>
      <c r="E533" s="21"/>
      <c r="F533" s="21"/>
      <c r="G533" s="21"/>
      <c r="H533" s="21"/>
    </row>
    <row r="534" s="7" customFormat="1" hidden="1" spans="1:8">
      <c r="A534" s="37"/>
      <c r="B534" s="86"/>
      <c r="C534" s="87"/>
      <c r="D534" s="87"/>
      <c r="E534" s="21"/>
      <c r="F534" s="21"/>
      <c r="G534" s="21"/>
      <c r="H534" s="21"/>
    </row>
    <row r="535" s="7" customFormat="1" hidden="1" spans="1:8">
      <c r="A535" s="37"/>
      <c r="B535" s="86"/>
      <c r="C535" s="87"/>
      <c r="D535" s="87"/>
      <c r="E535" s="21"/>
      <c r="F535" s="21"/>
      <c r="G535" s="21"/>
      <c r="H535" s="21"/>
    </row>
    <row r="536" s="7" customFormat="1" hidden="1" spans="1:8">
      <c r="A536" s="37"/>
      <c r="B536" s="86"/>
      <c r="C536" s="87"/>
      <c r="D536" s="87"/>
      <c r="E536" s="21"/>
      <c r="F536" s="21"/>
      <c r="G536" s="21"/>
      <c r="H536" s="21"/>
    </row>
    <row r="537" s="7" customFormat="1" hidden="1" spans="1:8">
      <c r="A537" s="37"/>
      <c r="B537" s="86"/>
      <c r="C537" s="87"/>
      <c r="D537" s="87"/>
      <c r="E537" s="21"/>
      <c r="F537" s="21"/>
      <c r="G537" s="21"/>
      <c r="H537" s="21"/>
    </row>
    <row r="538" s="7" customFormat="1" hidden="1" spans="1:8">
      <c r="A538" s="37"/>
      <c r="B538" s="86"/>
      <c r="C538" s="87"/>
      <c r="D538" s="87"/>
      <c r="E538" s="21"/>
      <c r="F538" s="21"/>
      <c r="G538" s="21"/>
      <c r="H538" s="21"/>
    </row>
    <row r="539" s="7" customFormat="1" hidden="1" spans="1:8">
      <c r="A539" s="37"/>
      <c r="B539" s="86"/>
      <c r="C539" s="87"/>
      <c r="D539" s="87"/>
      <c r="E539" s="21"/>
      <c r="F539" s="21"/>
      <c r="G539" s="21"/>
      <c r="H539" s="21"/>
    </row>
    <row r="540" s="7" customFormat="1" hidden="1" spans="1:8">
      <c r="A540" s="37"/>
      <c r="B540" s="86"/>
      <c r="C540" s="87"/>
      <c r="D540" s="87"/>
      <c r="E540" s="21"/>
      <c r="F540" s="21"/>
      <c r="G540" s="21"/>
      <c r="H540" s="21"/>
    </row>
    <row r="541" s="7" customFormat="1" hidden="1" spans="1:8">
      <c r="A541" s="37"/>
      <c r="B541" s="86"/>
      <c r="C541" s="87"/>
      <c r="D541" s="87"/>
      <c r="E541" s="21"/>
      <c r="F541" s="21"/>
      <c r="G541" s="21"/>
      <c r="H541" s="21"/>
    </row>
    <row r="542" s="7" customFormat="1" hidden="1" spans="1:8">
      <c r="A542" s="37"/>
      <c r="B542" s="86"/>
      <c r="C542" s="87"/>
      <c r="D542" s="87"/>
      <c r="E542" s="21"/>
      <c r="F542" s="21"/>
      <c r="G542" s="21"/>
      <c r="H542" s="21"/>
    </row>
    <row r="543" s="7" customFormat="1" hidden="1" spans="1:8">
      <c r="A543" s="37"/>
      <c r="B543" s="86"/>
      <c r="C543" s="87"/>
      <c r="D543" s="87"/>
      <c r="E543" s="21"/>
      <c r="F543" s="21"/>
      <c r="G543" s="21"/>
      <c r="H543" s="21"/>
    </row>
    <row r="544" s="7" customFormat="1" hidden="1" spans="1:8">
      <c r="A544" s="37"/>
      <c r="B544" s="86"/>
      <c r="C544" s="87"/>
      <c r="D544" s="87"/>
      <c r="E544" s="21"/>
      <c r="F544" s="21"/>
      <c r="G544" s="21"/>
      <c r="H544" s="21"/>
    </row>
    <row r="545" s="7" customFormat="1" hidden="1" spans="1:8">
      <c r="A545" s="37"/>
      <c r="B545" s="86"/>
      <c r="C545" s="87"/>
      <c r="D545" s="87"/>
      <c r="E545" s="21"/>
      <c r="F545" s="21"/>
      <c r="G545" s="21"/>
      <c r="H545" s="21"/>
    </row>
    <row r="546" s="7" customFormat="1" hidden="1" spans="1:8">
      <c r="A546" s="37"/>
      <c r="B546" s="86"/>
      <c r="C546" s="87"/>
      <c r="D546" s="87"/>
      <c r="E546" s="21"/>
      <c r="F546" s="21">
        <f t="shared" si="29"/>
        <v>0</v>
      </c>
      <c r="G546" s="21"/>
      <c r="H546" s="21"/>
    </row>
    <row r="547" s="7" customFormat="1" hidden="1" spans="1:8">
      <c r="A547" s="37"/>
      <c r="B547" s="86"/>
      <c r="C547" s="87"/>
      <c r="D547" s="87"/>
      <c r="E547" s="21"/>
      <c r="F547" s="21">
        <f t="shared" si="29"/>
        <v>0</v>
      </c>
      <c r="G547" s="21"/>
      <c r="H547" s="21"/>
    </row>
    <row r="548" s="7" customFormat="1" hidden="1" spans="1:8">
      <c r="A548" s="37"/>
      <c r="B548" s="86"/>
      <c r="C548" s="87"/>
      <c r="D548" s="87"/>
      <c r="E548" s="21"/>
      <c r="F548" s="21">
        <f t="shared" si="29"/>
        <v>0</v>
      </c>
      <c r="G548" s="21"/>
      <c r="H548" s="21"/>
    </row>
    <row r="549" s="7" customFormat="1" hidden="1" spans="1:8">
      <c r="A549" s="37"/>
      <c r="B549" s="86"/>
      <c r="C549" s="87"/>
      <c r="D549" s="87"/>
      <c r="E549" s="21"/>
      <c r="F549" s="21">
        <f t="shared" si="29"/>
        <v>0</v>
      </c>
      <c r="G549" s="21"/>
      <c r="H549" s="21"/>
    </row>
    <row r="550" s="7" customFormat="1" hidden="1" spans="1:8">
      <c r="A550" s="37"/>
      <c r="B550" s="86"/>
      <c r="C550" s="87"/>
      <c r="D550" s="87"/>
      <c r="E550" s="21"/>
      <c r="F550" s="21">
        <f t="shared" si="29"/>
        <v>0</v>
      </c>
      <c r="G550" s="21"/>
      <c r="H550" s="21"/>
    </row>
    <row r="551" s="7" customFormat="1" hidden="1" spans="1:8">
      <c r="A551" s="37"/>
      <c r="B551" s="86"/>
      <c r="C551" s="87"/>
      <c r="D551" s="87"/>
      <c r="E551" s="21"/>
      <c r="F551" s="21">
        <f t="shared" si="29"/>
        <v>0</v>
      </c>
      <c r="G551" s="21"/>
      <c r="H551" s="21"/>
    </row>
    <row r="552" s="7" customFormat="1" hidden="1" spans="1:8">
      <c r="A552" s="37"/>
      <c r="B552" s="86"/>
      <c r="C552" s="87"/>
      <c r="D552" s="87"/>
      <c r="E552" s="21"/>
      <c r="F552" s="21">
        <f t="shared" si="29"/>
        <v>0</v>
      </c>
      <c r="G552" s="21"/>
      <c r="H552" s="21"/>
    </row>
    <row r="553" s="7" customFormat="1" hidden="1" spans="1:8">
      <c r="A553" s="37"/>
      <c r="B553" s="86"/>
      <c r="C553" s="87"/>
      <c r="D553" s="87"/>
      <c r="E553" s="21"/>
      <c r="F553" s="21">
        <f t="shared" si="29"/>
        <v>0</v>
      </c>
      <c r="G553" s="21"/>
      <c r="H553" s="21"/>
    </row>
    <row r="554" s="7" customFormat="1" hidden="1" spans="1:8">
      <c r="A554" s="37"/>
      <c r="B554" s="86"/>
      <c r="C554" s="87"/>
      <c r="D554" s="87"/>
      <c r="E554" s="21"/>
      <c r="F554" s="21">
        <f t="shared" si="29"/>
        <v>0</v>
      </c>
      <c r="G554" s="21"/>
      <c r="H554" s="21"/>
    </row>
    <row r="555" s="7" customFormat="1" hidden="1" spans="1:8">
      <c r="A555" s="37"/>
      <c r="B555" s="86"/>
      <c r="C555" s="87"/>
      <c r="D555" s="87"/>
      <c r="E555" s="21"/>
      <c r="F555" s="21">
        <f t="shared" si="29"/>
        <v>0</v>
      </c>
      <c r="G555" s="21"/>
      <c r="H555" s="21"/>
    </row>
    <row r="556" s="7" customFormat="1" hidden="1" spans="1:8">
      <c r="A556" s="37"/>
      <c r="B556" s="86"/>
      <c r="C556" s="87"/>
      <c r="D556" s="87"/>
      <c r="E556" s="21"/>
      <c r="F556" s="21">
        <f t="shared" si="29"/>
        <v>0</v>
      </c>
      <c r="G556" s="21"/>
      <c r="H556" s="21"/>
    </row>
    <row r="557" s="7" customFormat="1" hidden="1" spans="1:8">
      <c r="A557" s="37"/>
      <c r="B557" s="86"/>
      <c r="C557" s="87"/>
      <c r="D557" s="87"/>
      <c r="E557" s="21"/>
      <c r="F557" s="21">
        <f t="shared" si="29"/>
        <v>0</v>
      </c>
      <c r="G557" s="21"/>
      <c r="H557" s="21"/>
    </row>
    <row r="558" s="7" customFormat="1" hidden="1" spans="1:8">
      <c r="A558" s="37"/>
      <c r="B558" s="86"/>
      <c r="C558" s="87"/>
      <c r="D558" s="87"/>
      <c r="E558" s="21"/>
      <c r="F558" s="21">
        <f t="shared" si="29"/>
        <v>0</v>
      </c>
      <c r="G558" s="21"/>
      <c r="H558" s="21"/>
    </row>
    <row r="559" s="7" customFormat="1" hidden="1" spans="1:8">
      <c r="A559" s="37"/>
      <c r="B559" s="86"/>
      <c r="C559" s="87"/>
      <c r="D559" s="87"/>
      <c r="E559" s="21"/>
      <c r="F559" s="21">
        <f t="shared" si="29"/>
        <v>0</v>
      </c>
      <c r="G559" s="21"/>
      <c r="H559" s="21"/>
    </row>
    <row r="560" s="7" customFormat="1" hidden="1" spans="1:8">
      <c r="A560" s="37"/>
      <c r="B560" s="86"/>
      <c r="C560" s="87"/>
      <c r="D560" s="87"/>
      <c r="E560" s="21"/>
      <c r="F560" s="21">
        <f t="shared" si="29"/>
        <v>0</v>
      </c>
      <c r="G560" s="21"/>
      <c r="H560" s="21"/>
    </row>
    <row r="561" s="7" customFormat="1" hidden="1" spans="1:8">
      <c r="A561" s="37"/>
      <c r="B561" s="86"/>
      <c r="C561" s="87"/>
      <c r="D561" s="87"/>
      <c r="E561" s="21"/>
      <c r="F561" s="21">
        <f t="shared" si="29"/>
        <v>0</v>
      </c>
      <c r="G561" s="21"/>
      <c r="H561" s="21"/>
    </row>
    <row r="562" s="7" customFormat="1" hidden="1" spans="1:8">
      <c r="A562" s="37"/>
      <c r="B562" s="86"/>
      <c r="C562" s="87"/>
      <c r="D562" s="87"/>
      <c r="E562" s="21"/>
      <c r="F562" s="21">
        <f t="shared" si="29"/>
        <v>0</v>
      </c>
      <c r="G562" s="21"/>
      <c r="H562" s="21"/>
    </row>
    <row r="563" s="7" customFormat="1" hidden="1" spans="1:8">
      <c r="A563" s="37"/>
      <c r="B563" s="86"/>
      <c r="C563" s="87"/>
      <c r="D563" s="87"/>
      <c r="E563" s="21"/>
      <c r="F563" s="21">
        <f t="shared" si="29"/>
        <v>0</v>
      </c>
      <c r="G563" s="21"/>
      <c r="H563" s="21"/>
    </row>
    <row r="564" s="7" customFormat="1" hidden="1" spans="1:8">
      <c r="A564" s="37"/>
      <c r="B564" s="86"/>
      <c r="C564" s="87"/>
      <c r="D564" s="87"/>
      <c r="E564" s="21"/>
      <c r="F564" s="21">
        <f t="shared" si="29"/>
        <v>0</v>
      </c>
      <c r="G564" s="21"/>
      <c r="H564" s="21"/>
    </row>
    <row r="565" s="7" customFormat="1" hidden="1" spans="1:8">
      <c r="A565" s="37"/>
      <c r="B565" s="86"/>
      <c r="C565" s="87"/>
      <c r="D565" s="87"/>
      <c r="E565" s="21"/>
      <c r="F565" s="21">
        <f t="shared" si="29"/>
        <v>0</v>
      </c>
      <c r="G565" s="21"/>
      <c r="H565" s="21"/>
    </row>
    <row r="566" s="7" customFormat="1" hidden="1" spans="1:8">
      <c r="A566" s="37"/>
      <c r="B566" s="86"/>
      <c r="C566" s="87"/>
      <c r="D566" s="87"/>
      <c r="E566" s="21"/>
      <c r="F566" s="21">
        <f t="shared" si="29"/>
        <v>0</v>
      </c>
      <c r="G566" s="21"/>
      <c r="H566" s="21"/>
    </row>
    <row r="567" s="7" customFormat="1" hidden="1" spans="1:8">
      <c r="A567" s="37"/>
      <c r="B567" s="86"/>
      <c r="C567" s="87"/>
      <c r="D567" s="87"/>
      <c r="E567" s="21"/>
      <c r="F567" s="21">
        <f t="shared" si="29"/>
        <v>0</v>
      </c>
      <c r="G567" s="21"/>
      <c r="H567" s="21"/>
    </row>
    <row r="568" s="7" customFormat="1" hidden="1" spans="1:8">
      <c r="A568" s="37"/>
      <c r="B568" s="86"/>
      <c r="C568" s="87"/>
      <c r="D568" s="87"/>
      <c r="E568" s="21"/>
      <c r="F568" s="21">
        <f t="shared" si="29"/>
        <v>0</v>
      </c>
      <c r="G568" s="21"/>
      <c r="H568" s="21"/>
    </row>
    <row r="569" s="7" customFormat="1" hidden="1" spans="1:8">
      <c r="A569" s="37"/>
      <c r="B569" s="86"/>
      <c r="C569" s="87"/>
      <c r="D569" s="87"/>
      <c r="E569" s="21"/>
      <c r="F569" s="21">
        <f t="shared" si="29"/>
        <v>0</v>
      </c>
      <c r="G569" s="21"/>
      <c r="H569" s="21"/>
    </row>
    <row r="570" s="7" customFormat="1" hidden="1" spans="1:8">
      <c r="A570" s="37"/>
      <c r="B570" s="86"/>
      <c r="C570" s="87"/>
      <c r="D570" s="87"/>
      <c r="E570" s="21"/>
      <c r="F570" s="21">
        <f t="shared" si="29"/>
        <v>0</v>
      </c>
      <c r="G570" s="21"/>
      <c r="H570" s="21"/>
    </row>
    <row r="571" s="7" customFormat="1" hidden="1" spans="1:8">
      <c r="A571" s="37"/>
      <c r="B571" s="86"/>
      <c r="C571" s="87"/>
      <c r="D571" s="87"/>
      <c r="E571" s="21"/>
      <c r="F571" s="21">
        <f t="shared" si="29"/>
        <v>0</v>
      </c>
      <c r="G571" s="21"/>
      <c r="H571" s="21"/>
    </row>
    <row r="572" s="7" customFormat="1" hidden="1" spans="1:8">
      <c r="A572" s="37"/>
      <c r="B572" s="86"/>
      <c r="C572" s="87"/>
      <c r="D572" s="87"/>
      <c r="E572" s="21"/>
      <c r="F572" s="21">
        <f t="shared" si="29"/>
        <v>0</v>
      </c>
      <c r="G572" s="21"/>
      <c r="H572" s="21"/>
    </row>
    <row r="573" s="7" customFormat="1" hidden="1" spans="1:8">
      <c r="A573" s="37"/>
      <c r="B573" s="86"/>
      <c r="C573" s="87"/>
      <c r="D573" s="87"/>
      <c r="E573" s="21"/>
      <c r="F573" s="21">
        <f t="shared" si="29"/>
        <v>0</v>
      </c>
      <c r="G573" s="21"/>
      <c r="H573" s="21"/>
    </row>
    <row r="574" s="7" customFormat="1" hidden="1" spans="1:8">
      <c r="A574" s="37"/>
      <c r="B574" s="86"/>
      <c r="C574" s="87"/>
      <c r="D574" s="87"/>
      <c r="E574" s="21"/>
      <c r="F574" s="21">
        <f t="shared" si="29"/>
        <v>0</v>
      </c>
      <c r="G574" s="21"/>
      <c r="H574" s="21"/>
    </row>
    <row r="575" s="7" customFormat="1" hidden="1" spans="1:8">
      <c r="A575" s="37"/>
      <c r="B575" s="86"/>
      <c r="C575" s="87"/>
      <c r="D575" s="87"/>
      <c r="E575" s="21"/>
      <c r="F575" s="21">
        <f t="shared" si="29"/>
        <v>0</v>
      </c>
      <c r="G575" s="21"/>
      <c r="H575" s="21"/>
    </row>
    <row r="576" s="7" customFormat="1" hidden="1" spans="1:8">
      <c r="A576" s="37"/>
      <c r="B576" s="86"/>
      <c r="C576" s="87"/>
      <c r="D576" s="87"/>
      <c r="E576" s="21"/>
      <c r="F576" s="21">
        <f t="shared" si="29"/>
        <v>0</v>
      </c>
      <c r="G576" s="21"/>
      <c r="H576" s="21"/>
    </row>
    <row r="577" s="7" customFormat="1" hidden="1" spans="1:8">
      <c r="A577" s="37"/>
      <c r="B577" s="86"/>
      <c r="C577" s="87"/>
      <c r="D577" s="87"/>
      <c r="E577" s="21"/>
      <c r="F577" s="21">
        <f t="shared" si="29"/>
        <v>0</v>
      </c>
      <c r="G577" s="21"/>
      <c r="H577" s="21"/>
    </row>
    <row r="578" s="7" customFormat="1" hidden="1" spans="1:8">
      <c r="A578" s="37"/>
      <c r="B578" s="86"/>
      <c r="C578" s="87"/>
      <c r="D578" s="87"/>
      <c r="E578" s="21"/>
      <c r="F578" s="21">
        <f t="shared" si="29"/>
        <v>0</v>
      </c>
      <c r="G578" s="21"/>
      <c r="H578" s="21"/>
    </row>
    <row r="579" s="7" customFormat="1" hidden="1" spans="1:8">
      <c r="A579" s="37"/>
      <c r="B579" s="86"/>
      <c r="C579" s="87"/>
      <c r="D579" s="87"/>
      <c r="E579" s="21"/>
      <c r="F579" s="21">
        <f t="shared" si="29"/>
        <v>0</v>
      </c>
      <c r="G579" s="21"/>
      <c r="H579" s="21"/>
    </row>
    <row r="580" s="7" customFormat="1" hidden="1" spans="1:8">
      <c r="A580" s="37"/>
      <c r="B580" s="86"/>
      <c r="C580" s="87"/>
      <c r="D580" s="87"/>
      <c r="E580" s="21"/>
      <c r="F580" s="21">
        <f t="shared" si="29"/>
        <v>0</v>
      </c>
      <c r="G580" s="21"/>
      <c r="H580" s="21"/>
    </row>
    <row r="581" s="7" customFormat="1" hidden="1" spans="1:8">
      <c r="A581" s="37"/>
      <c r="B581" s="86"/>
      <c r="C581" s="87"/>
      <c r="D581" s="87"/>
      <c r="E581" s="21"/>
      <c r="F581" s="21">
        <f t="shared" si="29"/>
        <v>0</v>
      </c>
      <c r="G581" s="21"/>
      <c r="H581" s="21"/>
    </row>
    <row r="582" s="7" customFormat="1" hidden="1" spans="1:8">
      <c r="A582" s="37"/>
      <c r="B582" s="86"/>
      <c r="C582" s="87"/>
      <c r="D582" s="87"/>
      <c r="E582" s="21"/>
      <c r="F582" s="21">
        <f t="shared" si="29"/>
        <v>0</v>
      </c>
      <c r="G582" s="21"/>
      <c r="H582" s="21"/>
    </row>
    <row r="583" s="7" customFormat="1" hidden="1" spans="1:8">
      <c r="A583" s="37"/>
      <c r="B583" s="86"/>
      <c r="C583" s="87"/>
      <c r="D583" s="87"/>
      <c r="E583" s="21"/>
      <c r="F583" s="21">
        <f t="shared" si="29"/>
        <v>0</v>
      </c>
      <c r="G583" s="21"/>
      <c r="H583" s="21"/>
    </row>
    <row r="584" s="7" customFormat="1" hidden="1" spans="1:8">
      <c r="A584" s="37"/>
      <c r="B584" s="86"/>
      <c r="C584" s="87"/>
      <c r="D584" s="87"/>
      <c r="E584" s="21"/>
      <c r="F584" s="21">
        <f t="shared" si="29"/>
        <v>0</v>
      </c>
      <c r="G584" s="21"/>
      <c r="H584" s="21"/>
    </row>
    <row r="585" s="7" customFormat="1" hidden="1" spans="1:8">
      <c r="A585" s="37"/>
      <c r="B585" s="86"/>
      <c r="C585" s="87"/>
      <c r="D585" s="87"/>
      <c r="E585" s="21"/>
      <c r="F585" s="21">
        <f t="shared" si="29"/>
        <v>0</v>
      </c>
      <c r="G585" s="21"/>
      <c r="H585" s="21"/>
    </row>
    <row r="586" s="7" customFormat="1" hidden="1" spans="1:8">
      <c r="A586" s="37"/>
      <c r="B586" s="86"/>
      <c r="C586" s="87"/>
      <c r="D586" s="87"/>
      <c r="E586" s="21"/>
      <c r="F586" s="21">
        <f t="shared" ref="F586:F606" si="32">D586*E586</f>
        <v>0</v>
      </c>
      <c r="G586" s="21"/>
      <c r="H586" s="21"/>
    </row>
    <row r="587" s="7" customFormat="1" hidden="1" spans="1:8">
      <c r="A587" s="37"/>
      <c r="B587" s="86"/>
      <c r="C587" s="87"/>
      <c r="D587" s="87"/>
      <c r="E587" s="21"/>
      <c r="F587" s="21">
        <f t="shared" si="32"/>
        <v>0</v>
      </c>
      <c r="G587" s="21"/>
      <c r="H587" s="21"/>
    </row>
    <row r="588" s="7" customFormat="1" hidden="1" spans="1:8">
      <c r="A588" s="37"/>
      <c r="B588" s="86"/>
      <c r="C588" s="87"/>
      <c r="D588" s="87"/>
      <c r="E588" s="21"/>
      <c r="F588" s="21">
        <f t="shared" si="32"/>
        <v>0</v>
      </c>
      <c r="G588" s="21"/>
      <c r="H588" s="21"/>
    </row>
    <row r="589" s="7" customFormat="1" hidden="1" spans="1:8">
      <c r="A589" s="37"/>
      <c r="B589" s="86"/>
      <c r="C589" s="87"/>
      <c r="D589" s="87"/>
      <c r="E589" s="21"/>
      <c r="F589" s="21">
        <f t="shared" si="32"/>
        <v>0</v>
      </c>
      <c r="G589" s="21"/>
      <c r="H589" s="21"/>
    </row>
    <row r="590" s="7" customFormat="1" hidden="1" spans="1:8">
      <c r="A590" s="37"/>
      <c r="B590" s="86"/>
      <c r="C590" s="87"/>
      <c r="D590" s="87"/>
      <c r="E590" s="21"/>
      <c r="F590" s="21">
        <f t="shared" si="32"/>
        <v>0</v>
      </c>
      <c r="G590" s="21"/>
      <c r="H590" s="21"/>
    </row>
    <row r="591" s="7" customFormat="1" hidden="1" spans="1:8">
      <c r="A591" s="37"/>
      <c r="B591" s="86"/>
      <c r="C591" s="87"/>
      <c r="D591" s="87"/>
      <c r="E591" s="21"/>
      <c r="F591" s="21">
        <f t="shared" si="32"/>
        <v>0</v>
      </c>
      <c r="G591" s="21"/>
      <c r="H591" s="21"/>
    </row>
    <row r="592" s="7" customFormat="1" hidden="1" spans="1:8">
      <c r="A592" s="37"/>
      <c r="B592" s="86"/>
      <c r="C592" s="87"/>
      <c r="D592" s="87"/>
      <c r="E592" s="21"/>
      <c r="F592" s="21">
        <f t="shared" si="32"/>
        <v>0</v>
      </c>
      <c r="G592" s="21"/>
      <c r="H592" s="21"/>
    </row>
    <row r="593" s="7" customFormat="1" hidden="1" spans="1:8">
      <c r="A593" s="37"/>
      <c r="B593" s="86"/>
      <c r="C593" s="87"/>
      <c r="D593" s="87"/>
      <c r="E593" s="21"/>
      <c r="F593" s="21">
        <f t="shared" si="32"/>
        <v>0</v>
      </c>
      <c r="G593" s="21"/>
      <c r="H593" s="21"/>
    </row>
    <row r="594" s="7" customFormat="1" hidden="1" spans="1:8">
      <c r="A594" s="37"/>
      <c r="B594" s="86"/>
      <c r="C594" s="87"/>
      <c r="D594" s="87"/>
      <c r="E594" s="21"/>
      <c r="F594" s="21">
        <f t="shared" si="32"/>
        <v>0</v>
      </c>
      <c r="G594" s="21"/>
      <c r="H594" s="21"/>
    </row>
    <row r="595" s="7" customFormat="1" hidden="1" spans="1:8">
      <c r="A595" s="37"/>
      <c r="B595" s="86"/>
      <c r="C595" s="87"/>
      <c r="D595" s="87"/>
      <c r="E595" s="21"/>
      <c r="F595" s="21">
        <f t="shared" si="32"/>
        <v>0</v>
      </c>
      <c r="G595" s="21"/>
      <c r="H595" s="21"/>
    </row>
    <row r="596" s="7" customFormat="1" hidden="1" spans="1:8">
      <c r="A596" s="37"/>
      <c r="B596" s="86"/>
      <c r="C596" s="87"/>
      <c r="D596" s="87"/>
      <c r="E596" s="21"/>
      <c r="F596" s="21">
        <f t="shared" si="32"/>
        <v>0</v>
      </c>
      <c r="G596" s="21"/>
      <c r="H596" s="21"/>
    </row>
    <row r="597" s="7" customFormat="1" hidden="1" spans="1:8">
      <c r="A597" s="37"/>
      <c r="B597" s="86"/>
      <c r="C597" s="87"/>
      <c r="D597" s="87"/>
      <c r="E597" s="21"/>
      <c r="F597" s="21">
        <f t="shared" si="32"/>
        <v>0</v>
      </c>
      <c r="G597" s="21"/>
      <c r="H597" s="21"/>
    </row>
    <row r="598" s="7" customFormat="1" hidden="1" spans="1:8">
      <c r="A598" s="37"/>
      <c r="B598" s="86"/>
      <c r="C598" s="87"/>
      <c r="D598" s="87"/>
      <c r="E598" s="21"/>
      <c r="F598" s="21">
        <f t="shared" si="32"/>
        <v>0</v>
      </c>
      <c r="G598" s="21"/>
      <c r="H598" s="21"/>
    </row>
    <row r="599" s="7" customFormat="1" hidden="1" spans="1:8">
      <c r="A599" s="37"/>
      <c r="B599" s="86"/>
      <c r="C599" s="87"/>
      <c r="D599" s="87"/>
      <c r="E599" s="21"/>
      <c r="F599" s="21">
        <f t="shared" si="32"/>
        <v>0</v>
      </c>
      <c r="G599" s="21"/>
      <c r="H599" s="21"/>
    </row>
    <row r="600" s="7" customFormat="1" hidden="1" spans="1:8">
      <c r="A600" s="37"/>
      <c r="B600" s="86"/>
      <c r="C600" s="87"/>
      <c r="D600" s="87"/>
      <c r="E600" s="21"/>
      <c r="F600" s="21">
        <f t="shared" si="32"/>
        <v>0</v>
      </c>
      <c r="G600" s="21"/>
      <c r="H600" s="21"/>
    </row>
    <row r="601" s="7" customFormat="1" hidden="1" spans="1:8">
      <c r="A601" s="37"/>
      <c r="B601" s="86"/>
      <c r="C601" s="87"/>
      <c r="D601" s="87"/>
      <c r="E601" s="21"/>
      <c r="F601" s="21">
        <f t="shared" si="32"/>
        <v>0</v>
      </c>
      <c r="G601" s="21"/>
      <c r="H601" s="21"/>
    </row>
    <row r="602" s="7" customFormat="1" hidden="1" spans="1:8">
      <c r="A602" s="37"/>
      <c r="B602" s="86"/>
      <c r="C602" s="87"/>
      <c r="D602" s="87"/>
      <c r="E602" s="21"/>
      <c r="F602" s="21">
        <f t="shared" si="32"/>
        <v>0</v>
      </c>
      <c r="G602" s="21"/>
      <c r="H602" s="21"/>
    </row>
    <row r="603" s="7" customFormat="1" hidden="1" spans="1:8">
      <c r="A603" s="37"/>
      <c r="B603" s="86"/>
      <c r="C603" s="87"/>
      <c r="D603" s="87"/>
      <c r="E603" s="21"/>
      <c r="F603" s="21">
        <f t="shared" si="32"/>
        <v>0</v>
      </c>
      <c r="G603" s="21"/>
      <c r="H603" s="21"/>
    </row>
    <row r="604" s="7" customFormat="1" hidden="1" spans="1:8">
      <c r="A604" s="37"/>
      <c r="B604" s="86"/>
      <c r="C604" s="87"/>
      <c r="D604" s="87"/>
      <c r="E604" s="21"/>
      <c r="F604" s="21">
        <f t="shared" si="32"/>
        <v>0</v>
      </c>
      <c r="G604" s="21"/>
      <c r="H604" s="21"/>
    </row>
    <row r="605" s="7" customFormat="1" hidden="1" spans="1:8">
      <c r="A605" s="37"/>
      <c r="B605" s="86"/>
      <c r="C605" s="87"/>
      <c r="D605" s="87"/>
      <c r="E605" s="21"/>
      <c r="F605" s="21">
        <f t="shared" si="32"/>
        <v>0</v>
      </c>
      <c r="G605" s="21"/>
      <c r="H605" s="21"/>
    </row>
    <row r="606" s="7" customFormat="1" hidden="1" spans="1:8">
      <c r="A606" s="37"/>
      <c r="B606" s="86"/>
      <c r="C606" s="87"/>
      <c r="D606" s="87"/>
      <c r="E606" s="21"/>
      <c r="F606" s="21">
        <f t="shared" si="32"/>
        <v>0</v>
      </c>
      <c r="G606" s="21"/>
      <c r="H606" s="21"/>
    </row>
    <row r="607" s="7" customFormat="1" hidden="1" spans="1:8">
      <c r="A607" s="37"/>
      <c r="B607" s="86"/>
      <c r="C607" s="87"/>
      <c r="D607" s="87"/>
      <c r="E607" s="21"/>
      <c r="F607" s="21">
        <f t="shared" si="29"/>
        <v>0</v>
      </c>
      <c r="G607" s="21"/>
      <c r="H607" s="21"/>
    </row>
    <row r="608" s="7" customFormat="1" hidden="1" spans="1:8">
      <c r="A608" s="37"/>
      <c r="B608" s="86"/>
      <c r="C608" s="87"/>
      <c r="D608" s="87"/>
      <c r="E608" s="21"/>
      <c r="F608" s="21">
        <f t="shared" si="29"/>
        <v>0</v>
      </c>
      <c r="G608" s="21"/>
      <c r="H608" s="21"/>
    </row>
    <row r="609" s="7" customFormat="1" hidden="1" spans="1:8">
      <c r="A609" s="37"/>
      <c r="B609" s="86"/>
      <c r="C609" s="87"/>
      <c r="D609" s="87"/>
      <c r="E609" s="21"/>
      <c r="F609" s="21">
        <f t="shared" si="29"/>
        <v>0</v>
      </c>
      <c r="G609" s="21"/>
      <c r="H609" s="21"/>
    </row>
    <row r="610" s="7" customFormat="1" hidden="1" spans="1:8">
      <c r="A610" s="37"/>
      <c r="B610" s="30"/>
      <c r="C610" s="32"/>
      <c r="D610" s="57"/>
      <c r="E610" s="21"/>
      <c r="F610" s="21">
        <f t="shared" si="29"/>
        <v>0</v>
      </c>
      <c r="G610" s="21"/>
      <c r="H610" s="21"/>
    </row>
    <row r="611" s="7" customFormat="1" hidden="1" spans="1:8">
      <c r="A611" s="37"/>
      <c r="B611" s="30"/>
      <c r="C611" s="32"/>
      <c r="D611" s="21"/>
      <c r="E611" s="21"/>
      <c r="F611" s="21">
        <f t="shared" si="29"/>
        <v>0</v>
      </c>
      <c r="G611" s="21"/>
      <c r="H611" s="21"/>
    </row>
    <row r="612" s="7" customFormat="1" hidden="1" spans="1:8">
      <c r="A612" s="37"/>
      <c r="B612" s="30"/>
      <c r="C612" s="32"/>
      <c r="D612" s="21"/>
      <c r="E612" s="21"/>
      <c r="F612" s="21">
        <f t="shared" si="29"/>
        <v>0</v>
      </c>
      <c r="G612" s="21"/>
      <c r="H612" s="21"/>
    </row>
    <row r="613" s="7" customFormat="1" hidden="1" spans="1:8">
      <c r="A613" s="37"/>
      <c r="B613" s="30"/>
      <c r="C613" s="32"/>
      <c r="D613" s="21"/>
      <c r="E613" s="21"/>
      <c r="F613" s="21">
        <f t="shared" si="29"/>
        <v>0</v>
      </c>
      <c r="G613" s="21"/>
      <c r="H613" s="21"/>
    </row>
    <row r="614" s="7" customFormat="1" hidden="1" spans="1:8">
      <c r="A614" s="37"/>
      <c r="B614" s="30"/>
      <c r="C614" s="32"/>
      <c r="D614" s="21"/>
      <c r="E614" s="21"/>
      <c r="F614" s="21">
        <f t="shared" si="29"/>
        <v>0</v>
      </c>
      <c r="G614" s="21"/>
      <c r="H614" s="21"/>
    </row>
    <row r="615" s="7" customFormat="1" hidden="1" spans="1:8">
      <c r="A615" s="37"/>
      <c r="B615" s="30"/>
      <c r="C615" s="32"/>
      <c r="D615" s="21"/>
      <c r="E615" s="21"/>
      <c r="F615" s="21">
        <f t="shared" si="29"/>
        <v>0</v>
      </c>
      <c r="G615" s="21"/>
      <c r="H615" s="21"/>
    </row>
    <row r="616" s="7" customFormat="1" hidden="1" spans="1:8">
      <c r="A616" s="37"/>
      <c r="B616" s="30"/>
      <c r="C616" s="32"/>
      <c r="D616" s="21"/>
      <c r="E616" s="21"/>
      <c r="F616" s="21">
        <f t="shared" si="29"/>
        <v>0</v>
      </c>
      <c r="G616" s="21"/>
      <c r="H616" s="21"/>
    </row>
    <row r="617" s="7" customFormat="1" hidden="1" spans="1:8">
      <c r="A617" s="37"/>
      <c r="B617" s="30"/>
      <c r="C617" s="32"/>
      <c r="D617" s="21"/>
      <c r="E617" s="21"/>
      <c r="F617" s="21">
        <f t="shared" si="29"/>
        <v>0</v>
      </c>
      <c r="G617" s="21"/>
      <c r="H617" s="21"/>
    </row>
    <row r="618" s="7" customFormat="1" hidden="1" spans="1:8">
      <c r="A618" s="37"/>
      <c r="B618" s="30"/>
      <c r="C618" s="32"/>
      <c r="D618" s="21"/>
      <c r="E618" s="21"/>
      <c r="F618" s="21">
        <f t="shared" si="29"/>
        <v>0</v>
      </c>
      <c r="G618" s="21"/>
      <c r="H618" s="21"/>
    </row>
    <row r="619" s="7" customFormat="1" hidden="1" spans="1:8">
      <c r="A619" s="37"/>
      <c r="B619" s="30"/>
      <c r="C619" s="32"/>
      <c r="D619" s="21"/>
      <c r="E619" s="21"/>
      <c r="F619" s="21">
        <f t="shared" si="29"/>
        <v>0</v>
      </c>
      <c r="G619" s="21"/>
      <c r="H619" s="21"/>
    </row>
    <row r="620" s="7" customFormat="1" hidden="1" spans="1:8">
      <c r="A620" s="37"/>
      <c r="B620" s="30"/>
      <c r="C620" s="32"/>
      <c r="D620" s="21"/>
      <c r="E620" s="21"/>
      <c r="F620" s="21">
        <f t="shared" si="29"/>
        <v>0</v>
      </c>
      <c r="G620" s="21"/>
      <c r="H620" s="21"/>
    </row>
    <row r="621" s="7" customFormat="1" hidden="1" spans="1:8">
      <c r="A621" s="37"/>
      <c r="B621" s="30"/>
      <c r="C621" s="32"/>
      <c r="D621" s="21"/>
      <c r="E621" s="21"/>
      <c r="F621" s="21">
        <f t="shared" si="29"/>
        <v>0</v>
      </c>
      <c r="G621" s="21"/>
      <c r="H621" s="21"/>
    </row>
    <row r="622" s="7" customFormat="1" hidden="1" spans="1:8">
      <c r="A622" s="20"/>
      <c r="B622" s="30"/>
      <c r="C622" s="32"/>
      <c r="D622" s="21"/>
      <c r="E622" s="21"/>
      <c r="F622" s="21">
        <f t="shared" si="29"/>
        <v>0</v>
      </c>
      <c r="G622" s="21"/>
      <c r="H622" s="21"/>
    </row>
    <row r="623" s="7" customFormat="1" hidden="1" spans="1:8">
      <c r="A623" s="20"/>
      <c r="B623" s="30"/>
      <c r="C623" s="32"/>
      <c r="D623" s="21"/>
      <c r="E623" s="21"/>
      <c r="F623" s="21">
        <f t="shared" si="29"/>
        <v>0</v>
      </c>
      <c r="G623" s="21"/>
      <c r="H623" s="21"/>
    </row>
    <row r="624" s="7" customFormat="1" hidden="1" spans="1:8">
      <c r="A624" s="20"/>
      <c r="B624" s="30"/>
      <c r="C624" s="32"/>
      <c r="D624" s="21"/>
      <c r="E624" s="21"/>
      <c r="F624" s="21">
        <f t="shared" si="29"/>
        <v>0</v>
      </c>
      <c r="G624" s="21"/>
      <c r="H624" s="21"/>
    </row>
    <row r="625" hidden="1" spans="1:8">
      <c r="A625" s="20"/>
      <c r="B625" s="30"/>
      <c r="C625" s="32"/>
      <c r="D625" s="21"/>
      <c r="E625" s="21"/>
      <c r="F625" s="21">
        <f t="shared" si="29"/>
        <v>0</v>
      </c>
      <c r="G625" s="21"/>
      <c r="H625" s="21"/>
    </row>
    <row r="626" s="4" customFormat="1" ht="14.25" spans="1:11">
      <c r="A626" s="23"/>
      <c r="B626" s="45" t="s">
        <v>387</v>
      </c>
      <c r="C626" s="46"/>
      <c r="D626" s="24"/>
      <c r="E626" s="24"/>
      <c r="F626" s="24">
        <f>SUM(F216+F217+F289)</f>
        <v>201930</v>
      </c>
      <c r="G626" s="24">
        <f t="shared" ref="G626:H626" si="33">SUM(G216:G625)</f>
        <v>201930</v>
      </c>
      <c r="H626" s="24">
        <f t="shared" si="33"/>
        <v>201930</v>
      </c>
      <c r="I626" s="44"/>
      <c r="J626" s="44"/>
      <c r="K626" s="44"/>
    </row>
    <row r="627" ht="15.75"/>
    <row r="628" ht="15.75" spans="1:8">
      <c r="A628" s="65"/>
      <c r="B628" s="66" t="s">
        <v>554</v>
      </c>
      <c r="C628" s="67"/>
      <c r="D628" s="67"/>
      <c r="E628" s="68"/>
      <c r="F628" s="69">
        <f>F626+F210+F184+F160+G148+F136+G124+F111+F99+F87+F75+F62+I50</f>
        <v>31186314</v>
      </c>
      <c r="G628" s="69">
        <f>G626+G210+G184+G160+H148+G136+H124+G111+G99+G87+G75+G62+J50</f>
        <v>36466700</v>
      </c>
      <c r="H628" s="69">
        <f>H626+H210+H184+H160+I148+H136+I124+H111+H99+H87+H75+H62+K50</f>
        <v>37948200</v>
      </c>
    </row>
    <row r="631" s="6" customFormat="1" ht="20.25" customHeight="1" spans="1:21">
      <c r="A631" s="6" t="s">
        <v>267</v>
      </c>
      <c r="D631" s="70" t="str">
        <f>закупки!AQ30</f>
        <v>Заведующий</v>
      </c>
      <c r="E631" s="71"/>
      <c r="F631" s="70"/>
      <c r="G631" s="71"/>
      <c r="H631" s="70" t="str">
        <f>закупки!BY30</f>
        <v>Измайлова Н.В.</v>
      </c>
      <c r="I631" s="70"/>
      <c r="J631" s="71"/>
      <c r="K631" s="71"/>
      <c r="L631" s="71"/>
      <c r="M631" s="71"/>
      <c r="N631" s="71"/>
      <c r="O631" s="71"/>
      <c r="P631" s="71"/>
      <c r="Q631" s="71"/>
      <c r="R631" s="71"/>
      <c r="S631" s="71"/>
      <c r="T631" s="71"/>
      <c r="U631" s="77"/>
    </row>
    <row r="632" s="6" customFormat="1" ht="20.25" customHeight="1" spans="1:21">
      <c r="A632" s="6" t="s">
        <v>268</v>
      </c>
      <c r="D632" s="72" t="s">
        <v>555</v>
      </c>
      <c r="E632" s="73"/>
      <c r="F632" s="72" t="s">
        <v>556</v>
      </c>
      <c r="G632" s="73"/>
      <c r="H632" s="74" t="s">
        <v>557</v>
      </c>
      <c r="I632" s="74"/>
      <c r="J632" s="73"/>
      <c r="K632" s="73"/>
      <c r="L632" s="73"/>
      <c r="M632" s="73"/>
      <c r="N632" s="73"/>
      <c r="O632" s="73"/>
      <c r="P632" s="73"/>
      <c r="Q632" s="73"/>
      <c r="R632" s="73"/>
      <c r="S632" s="73"/>
      <c r="T632" s="73"/>
      <c r="U632" s="77"/>
    </row>
    <row r="633" s="6" customFormat="1" spans="1:1">
      <c r="A633" s="75"/>
    </row>
    <row r="634" s="6" customFormat="1" spans="1:8">
      <c r="A634" s="75" t="s">
        <v>271</v>
      </c>
      <c r="B634" s="75"/>
      <c r="C634" s="70" t="str">
        <f>закупки!AM33</f>
        <v>Гл.бухгалтер</v>
      </c>
      <c r="D634" s="71"/>
      <c r="E634" s="70" t="str">
        <f>закупки!BG33</f>
        <v>Родионова Н.А.</v>
      </c>
      <c r="F634" s="71"/>
      <c r="G634" s="76" t="str">
        <f>закупки!CA33</f>
        <v>31-55-99</v>
      </c>
      <c r="H634" s="70"/>
    </row>
    <row r="635" s="6" customFormat="1" spans="3:8">
      <c r="C635" s="72" t="s">
        <v>558</v>
      </c>
      <c r="D635" s="73"/>
      <c r="E635" s="74" t="s">
        <v>275</v>
      </c>
      <c r="F635" s="73"/>
      <c r="G635" s="74" t="s">
        <v>276</v>
      </c>
      <c r="H635" s="74"/>
    </row>
    <row r="636" s="6" customFormat="1"/>
    <row r="637" s="6" customFormat="1"/>
    <row r="638" s="6" customFormat="1"/>
    <row r="639" s="6" customFormat="1"/>
    <row r="640" s="6" customFormat="1" customHeight="1" spans="1:5">
      <c r="A640" s="75" t="s">
        <v>559</v>
      </c>
      <c r="B640" s="75"/>
      <c r="C640" s="75"/>
      <c r="D640" s="75"/>
      <c r="E640" s="75"/>
    </row>
  </sheetData>
  <mergeCells count="124">
    <mergeCell ref="J1:K1"/>
    <mergeCell ref="I2:K2"/>
    <mergeCell ref="A3:K3"/>
    <mergeCell ref="A6:K6"/>
    <mergeCell ref="A8:B8"/>
    <mergeCell ref="A10:C10"/>
    <mergeCell ref="D15:G15"/>
    <mergeCell ref="A44:H44"/>
    <mergeCell ref="A64:H64"/>
    <mergeCell ref="B66:D66"/>
    <mergeCell ref="B67:D67"/>
    <mergeCell ref="B68:D68"/>
    <mergeCell ref="B69:D69"/>
    <mergeCell ref="B70:D70"/>
    <mergeCell ref="B71:D71"/>
    <mergeCell ref="B72:D72"/>
    <mergeCell ref="B73:D73"/>
    <mergeCell ref="B74:D74"/>
    <mergeCell ref="B75:D75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91:C91"/>
    <mergeCell ref="B92:C92"/>
    <mergeCell ref="B93:C93"/>
    <mergeCell ref="B94:C94"/>
    <mergeCell ref="B95:C95"/>
    <mergeCell ref="B96:C96"/>
    <mergeCell ref="B97:C97"/>
    <mergeCell ref="B98:C98"/>
    <mergeCell ref="B99:C99"/>
    <mergeCell ref="A101:H101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B116:C116"/>
    <mergeCell ref="B117:C117"/>
    <mergeCell ref="B118:C118"/>
    <mergeCell ref="B119:C119"/>
    <mergeCell ref="B122:C122"/>
    <mergeCell ref="B123:C123"/>
    <mergeCell ref="B124:C124"/>
    <mergeCell ref="B128:C128"/>
    <mergeCell ref="B129:C129"/>
    <mergeCell ref="B130:C130"/>
    <mergeCell ref="B131:C131"/>
    <mergeCell ref="B132:C132"/>
    <mergeCell ref="B133:C133"/>
    <mergeCell ref="B134:C134"/>
    <mergeCell ref="B135:C135"/>
    <mergeCell ref="B136:C136"/>
    <mergeCell ref="B140:C140"/>
    <mergeCell ref="B141:C141"/>
    <mergeCell ref="B142:C142"/>
    <mergeCell ref="B143:C143"/>
    <mergeCell ref="B144:C144"/>
    <mergeCell ref="B145:C145"/>
    <mergeCell ref="B146:C146"/>
    <mergeCell ref="B147:C147"/>
    <mergeCell ref="B148:C148"/>
    <mergeCell ref="B152:C152"/>
    <mergeCell ref="B153:C153"/>
    <mergeCell ref="B154:C154"/>
    <mergeCell ref="B155:C155"/>
    <mergeCell ref="B156:C156"/>
    <mergeCell ref="B157:C157"/>
    <mergeCell ref="B158:C158"/>
    <mergeCell ref="B159:C159"/>
    <mergeCell ref="B160:C160"/>
    <mergeCell ref="B164:C164"/>
    <mergeCell ref="B165:C165"/>
    <mergeCell ref="B166:C166"/>
    <mergeCell ref="B167:C167"/>
    <mergeCell ref="B180:C180"/>
    <mergeCell ref="B181:C181"/>
    <mergeCell ref="B182:C182"/>
    <mergeCell ref="B183:C183"/>
    <mergeCell ref="B184:C184"/>
    <mergeCell ref="B188:C188"/>
    <mergeCell ref="B189:C189"/>
    <mergeCell ref="B190:C190"/>
    <mergeCell ref="B191:C191"/>
    <mergeCell ref="B192:C192"/>
    <mergeCell ref="B194:C194"/>
    <mergeCell ref="B207:C207"/>
    <mergeCell ref="B208:C208"/>
    <mergeCell ref="B209:C209"/>
    <mergeCell ref="B210:C210"/>
    <mergeCell ref="B214:C214"/>
    <mergeCell ref="B215:C215"/>
    <mergeCell ref="B216:C216"/>
    <mergeCell ref="B217:C217"/>
    <mergeCell ref="B289:C289"/>
    <mergeCell ref="B622:C622"/>
    <mergeCell ref="B623:C623"/>
    <mergeCell ref="B624:C624"/>
    <mergeCell ref="B625:C625"/>
    <mergeCell ref="B626:C626"/>
    <mergeCell ref="B628:E628"/>
    <mergeCell ref="A631:C631"/>
    <mergeCell ref="A632:C632"/>
    <mergeCell ref="A634:B634"/>
    <mergeCell ref="G635:H635"/>
    <mergeCell ref="A640:E640"/>
    <mergeCell ref="A15:A17"/>
    <mergeCell ref="B15:B17"/>
    <mergeCell ref="C15:C17"/>
    <mergeCell ref="D16:D17"/>
    <mergeCell ref="H15:H17"/>
    <mergeCell ref="I15:I17"/>
    <mergeCell ref="J15:J17"/>
    <mergeCell ref="K15:K17"/>
  </mergeCells>
  <pageMargins left="0.368125" right="0.2325" top="0.75" bottom="0.75" header="0.3" footer="0.3"/>
  <pageSetup paperSize="9" scale="62" orientation="portrait"/>
  <headerFooter/>
  <rowBreaks count="1" manualBreakCount="1">
    <brk id="88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237"/>
  <sheetViews>
    <sheetView topLeftCell="A180" workbookViewId="0">
      <selection activeCell="A237" sqref="A237:E237"/>
    </sheetView>
  </sheetViews>
  <sheetFormatPr defaultColWidth="9.14285714285714" defaultRowHeight="15"/>
  <cols>
    <col min="1" max="1" width="8.85714285714286" style="7" customWidth="1"/>
    <col min="2" max="2" width="17.7142857142857" style="8" customWidth="1"/>
    <col min="3" max="3" width="14.2857142857143" style="8" customWidth="1"/>
    <col min="4" max="5" width="14" style="8" customWidth="1"/>
    <col min="6" max="6" width="16" style="8" customWidth="1"/>
    <col min="7" max="7" width="14.5714285714286" style="8" customWidth="1"/>
    <col min="8" max="8" width="13.7142857142857" style="8" customWidth="1"/>
    <col min="9" max="9" width="15.2857142857143" style="8" customWidth="1"/>
    <col min="10" max="10" width="14.5714285714286" style="8" customWidth="1"/>
    <col min="11" max="11" width="14.1428571428571" style="8" customWidth="1"/>
    <col min="12" max="12" width="17.7142857142857" style="7" customWidth="1"/>
    <col min="13" max="16384" width="9.14285714285714" style="7"/>
  </cols>
  <sheetData>
    <row r="1" hidden="1" spans="9:11">
      <c r="I1" s="6"/>
      <c r="J1" s="40" t="s">
        <v>362</v>
      </c>
      <c r="K1" s="40"/>
    </row>
    <row r="2" hidden="1" spans="9:11">
      <c r="I2" s="41" t="s">
        <v>285</v>
      </c>
      <c r="J2" s="41"/>
      <c r="K2" s="41"/>
    </row>
    <row r="3" ht="15.75" spans="1:11">
      <c r="A3" s="9" t="s">
        <v>363</v>
      </c>
      <c r="B3" s="9"/>
      <c r="C3" s="9"/>
      <c r="D3" s="9"/>
      <c r="E3" s="9"/>
      <c r="F3" s="9"/>
      <c r="G3" s="9"/>
      <c r="H3" s="9"/>
      <c r="I3" s="9"/>
      <c r="J3" s="9"/>
      <c r="K3" s="9"/>
    </row>
    <row r="6" spans="1:11">
      <c r="A6" s="10" t="s">
        <v>364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8" spans="1:3">
      <c r="A8" s="11" t="s">
        <v>365</v>
      </c>
      <c r="B8" s="11"/>
      <c r="C8" s="12">
        <v>1210821090</v>
      </c>
    </row>
    <row r="10" spans="1:4">
      <c r="A10" s="11" t="s">
        <v>366</v>
      </c>
      <c r="B10" s="11"/>
      <c r="C10" s="11"/>
      <c r="D10" s="13" t="s">
        <v>367</v>
      </c>
    </row>
    <row r="11" hidden="1" spans="1:3">
      <c r="A11" s="11"/>
      <c r="B11" s="11"/>
      <c r="C11" s="11"/>
    </row>
    <row r="12" hidden="1" spans="1:4">
      <c r="A12" s="14" t="s">
        <v>368</v>
      </c>
      <c r="B12" s="15"/>
      <c r="C12" s="15"/>
      <c r="D12" s="15"/>
    </row>
    <row r="13" hidden="1" spans="1:4">
      <c r="A13" s="14" t="s">
        <v>369</v>
      </c>
      <c r="B13" s="15"/>
      <c r="C13" s="15"/>
      <c r="D13" s="15"/>
    </row>
    <row r="14" hidden="1"/>
    <row r="15" s="1" customFormat="1" ht="12" hidden="1" spans="1:11">
      <c r="A15" s="16"/>
      <c r="B15" s="17" t="s">
        <v>370</v>
      </c>
      <c r="C15" s="17" t="s">
        <v>371</v>
      </c>
      <c r="D15" s="17" t="s">
        <v>372</v>
      </c>
      <c r="E15" s="17"/>
      <c r="F15" s="17"/>
      <c r="G15" s="17"/>
      <c r="H15" s="17" t="s">
        <v>373</v>
      </c>
      <c r="I15" s="17" t="s">
        <v>374</v>
      </c>
      <c r="J15" s="17" t="s">
        <v>375</v>
      </c>
      <c r="K15" s="17" t="s">
        <v>376</v>
      </c>
    </row>
    <row r="16" s="1" customFormat="1" ht="12" hidden="1" spans="1:11">
      <c r="A16" s="16"/>
      <c r="B16" s="17"/>
      <c r="C16" s="17"/>
      <c r="D16" s="16" t="s">
        <v>377</v>
      </c>
      <c r="E16" s="16" t="s">
        <v>54</v>
      </c>
      <c r="F16" s="16"/>
      <c r="G16" s="16"/>
      <c r="H16" s="17"/>
      <c r="I16" s="17"/>
      <c r="J16" s="17"/>
      <c r="K16" s="17"/>
    </row>
    <row r="17" s="2" customFormat="1" ht="36" hidden="1" spans="1:11">
      <c r="A17" s="16"/>
      <c r="B17" s="17"/>
      <c r="C17" s="17"/>
      <c r="D17" s="16"/>
      <c r="E17" s="18" t="s">
        <v>378</v>
      </c>
      <c r="F17" s="18" t="s">
        <v>379</v>
      </c>
      <c r="G17" s="18" t="s">
        <v>380</v>
      </c>
      <c r="H17" s="17"/>
      <c r="I17" s="17"/>
      <c r="J17" s="17"/>
      <c r="K17" s="17"/>
    </row>
    <row r="18" s="3" customFormat="1" hidden="1" spans="1:11">
      <c r="A18" s="19">
        <v>1</v>
      </c>
      <c r="B18" s="19">
        <v>2</v>
      </c>
      <c r="C18" s="19">
        <v>3</v>
      </c>
      <c r="D18" s="19">
        <v>4</v>
      </c>
      <c r="E18" s="19">
        <v>5</v>
      </c>
      <c r="F18" s="19">
        <v>6</v>
      </c>
      <c r="G18" s="19">
        <v>7</v>
      </c>
      <c r="H18" s="19">
        <v>8</v>
      </c>
      <c r="I18" s="19">
        <v>9</v>
      </c>
      <c r="J18" s="19">
        <v>10</v>
      </c>
      <c r="K18" s="19">
        <v>11</v>
      </c>
    </row>
    <row r="19" s="3" customFormat="1" hidden="1" spans="1:11">
      <c r="A19" s="19"/>
      <c r="B19" s="19" t="s">
        <v>381</v>
      </c>
      <c r="C19" s="19"/>
      <c r="D19" s="19"/>
      <c r="E19" s="19"/>
      <c r="F19" s="19"/>
      <c r="G19" s="19"/>
      <c r="H19" s="19"/>
      <c r="I19" s="19"/>
      <c r="J19" s="19"/>
      <c r="K19" s="19"/>
    </row>
    <row r="20" ht="24" hidden="1" spans="1:11">
      <c r="A20" s="20">
        <v>1</v>
      </c>
      <c r="B20" s="18" t="s">
        <v>382</v>
      </c>
      <c r="C20" s="21"/>
      <c r="D20" s="21">
        <f>E20+F20+G20</f>
        <v>0</v>
      </c>
      <c r="E20" s="21"/>
      <c r="F20" s="21"/>
      <c r="G20" s="21"/>
      <c r="H20" s="21"/>
      <c r="I20" s="21">
        <f>C20*D20+H20</f>
        <v>0</v>
      </c>
      <c r="J20" s="21"/>
      <c r="K20" s="21"/>
    </row>
    <row r="21" hidden="1" spans="1:11">
      <c r="A21" s="20">
        <v>2</v>
      </c>
      <c r="B21" s="18" t="s">
        <v>383</v>
      </c>
      <c r="C21" s="21"/>
      <c r="D21" s="21">
        <f t="shared" ref="D21:D23" si="0">E21+F21+G21</f>
        <v>0</v>
      </c>
      <c r="E21" s="21"/>
      <c r="F21" s="21"/>
      <c r="G21" s="21"/>
      <c r="H21" s="21"/>
      <c r="I21" s="21">
        <f t="shared" ref="I21:I23" si="1">C21*D21+H21</f>
        <v>0</v>
      </c>
      <c r="J21" s="21"/>
      <c r="K21" s="21"/>
    </row>
    <row r="22" hidden="1" spans="1:11">
      <c r="A22" s="20">
        <v>3</v>
      </c>
      <c r="B22" s="18" t="s">
        <v>384</v>
      </c>
      <c r="C22" s="21"/>
      <c r="D22" s="21">
        <f t="shared" si="0"/>
        <v>0</v>
      </c>
      <c r="E22" s="21"/>
      <c r="F22" s="21"/>
      <c r="G22" s="21"/>
      <c r="H22" s="21"/>
      <c r="I22" s="36">
        <f>ROUND((C22*D22+H22)*7,0)</f>
        <v>0</v>
      </c>
      <c r="J22" s="36"/>
      <c r="K22" s="42"/>
    </row>
    <row r="23" hidden="1" spans="1:11">
      <c r="A23" s="19"/>
      <c r="B23" s="19"/>
      <c r="C23" s="19"/>
      <c r="D23" s="21">
        <f t="shared" si="0"/>
        <v>0</v>
      </c>
      <c r="E23" s="21"/>
      <c r="F23" s="21"/>
      <c r="G23" s="21"/>
      <c r="H23" s="21"/>
      <c r="I23" s="36">
        <f t="shared" si="1"/>
        <v>0</v>
      </c>
      <c r="J23" s="36"/>
      <c r="K23" s="36"/>
    </row>
    <row r="24" s="3" customFormat="1" hidden="1" spans="1:11">
      <c r="A24" s="19"/>
      <c r="B24" s="19" t="s">
        <v>572</v>
      </c>
      <c r="C24" s="19"/>
      <c r="D24" s="19"/>
      <c r="E24" s="19"/>
      <c r="F24" s="19"/>
      <c r="G24" s="19"/>
      <c r="H24" s="19"/>
      <c r="I24" s="19"/>
      <c r="J24" s="19"/>
      <c r="K24" s="19"/>
    </row>
    <row r="25" ht="24" hidden="1" spans="1:11">
      <c r="A25" s="20">
        <v>1</v>
      </c>
      <c r="B25" s="18" t="s">
        <v>382</v>
      </c>
      <c r="C25" s="21"/>
      <c r="D25" s="21">
        <f>E25+F25+G25</f>
        <v>0</v>
      </c>
      <c r="E25" s="21"/>
      <c r="F25" s="21"/>
      <c r="G25" s="21"/>
      <c r="H25" s="21"/>
      <c r="I25" s="21">
        <f>C25*D25+H25</f>
        <v>0</v>
      </c>
      <c r="J25" s="21"/>
      <c r="K25" s="21"/>
    </row>
    <row r="26" hidden="1" spans="1:11">
      <c r="A26" s="20">
        <v>2</v>
      </c>
      <c r="B26" s="18" t="s">
        <v>383</v>
      </c>
      <c r="C26" s="21"/>
      <c r="D26" s="21">
        <f t="shared" ref="D26:D27" si="2">E26+F26+G26</f>
        <v>0</v>
      </c>
      <c r="E26" s="21"/>
      <c r="F26" s="21"/>
      <c r="G26" s="21"/>
      <c r="H26" s="21"/>
      <c r="I26" s="21">
        <f t="shared" ref="I26" si="3">C26*D26+H26</f>
        <v>0</v>
      </c>
      <c r="J26" s="21"/>
      <c r="K26" s="21"/>
    </row>
    <row r="27" hidden="1" spans="1:11">
      <c r="A27" s="20">
        <v>3</v>
      </c>
      <c r="B27" s="18" t="s">
        <v>384</v>
      </c>
      <c r="C27" s="21"/>
      <c r="D27" s="21">
        <f t="shared" si="2"/>
        <v>0</v>
      </c>
      <c r="E27" s="21"/>
      <c r="F27" s="21"/>
      <c r="G27" s="21"/>
      <c r="H27" s="21"/>
      <c r="I27" s="36">
        <f>ROUND((C27*D27+H27)*1,0)</f>
        <v>0</v>
      </c>
      <c r="J27" s="36"/>
      <c r="K27" s="42"/>
    </row>
    <row r="28" s="4" customFormat="1" ht="14.25" hidden="1" spans="1:11">
      <c r="A28" s="23" t="s">
        <v>387</v>
      </c>
      <c r="B28" s="24"/>
      <c r="C28" s="24"/>
      <c r="D28" s="24"/>
      <c r="E28" s="24"/>
      <c r="F28" s="24"/>
      <c r="G28" s="24"/>
      <c r="H28" s="24"/>
      <c r="I28" s="39">
        <f>SUM(I20:I27)</f>
        <v>0</v>
      </c>
      <c r="J28" s="39">
        <f>SUM(J20:J27)</f>
        <v>0</v>
      </c>
      <c r="K28" s="39">
        <f>SUM(K20:K27)</f>
        <v>0</v>
      </c>
    </row>
    <row r="29" hidden="1"/>
    <row r="30" s="5" customFormat="1" ht="14.25" hidden="1" spans="1:11">
      <c r="A30" s="5" t="s">
        <v>388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</row>
    <row r="31" hidden="1"/>
    <row r="32" s="1" customFormat="1" ht="48" hidden="1" spans="1:11">
      <c r="A32" s="25" t="s">
        <v>389</v>
      </c>
      <c r="B32" s="18" t="s">
        <v>390</v>
      </c>
      <c r="C32" s="18" t="s">
        <v>391</v>
      </c>
      <c r="D32" s="18" t="s">
        <v>392</v>
      </c>
      <c r="E32" s="18" t="s">
        <v>393</v>
      </c>
      <c r="F32" s="18" t="s">
        <v>394</v>
      </c>
      <c r="G32" s="18" t="s">
        <v>394</v>
      </c>
      <c r="H32" s="18" t="s">
        <v>394</v>
      </c>
      <c r="I32" s="43"/>
      <c r="J32" s="43"/>
      <c r="K32" s="43"/>
    </row>
    <row r="33" s="3" customFormat="1" hidden="1" spans="1:8">
      <c r="A33" s="19">
        <v>1</v>
      </c>
      <c r="B33" s="19">
        <v>2</v>
      </c>
      <c r="C33" s="19">
        <v>3</v>
      </c>
      <c r="D33" s="19">
        <v>4</v>
      </c>
      <c r="E33" s="19">
        <v>5</v>
      </c>
      <c r="F33" s="19">
        <v>6</v>
      </c>
      <c r="G33" s="19">
        <v>7</v>
      </c>
      <c r="H33" s="19">
        <v>8</v>
      </c>
    </row>
    <row r="34" hidden="1" spans="1:8">
      <c r="A34" s="20"/>
      <c r="B34" s="21"/>
      <c r="C34" s="21"/>
      <c r="D34" s="21"/>
      <c r="E34" s="21"/>
      <c r="F34" s="21"/>
      <c r="G34" s="21"/>
      <c r="H34" s="21"/>
    </row>
    <row r="35" hidden="1" spans="1:8">
      <c r="A35" s="20"/>
      <c r="B35" s="21"/>
      <c r="C35" s="21"/>
      <c r="D35" s="21"/>
      <c r="E35" s="21"/>
      <c r="F35" s="21"/>
      <c r="G35" s="21"/>
      <c r="H35" s="21"/>
    </row>
    <row r="36" hidden="1" spans="1:8">
      <c r="A36" s="20"/>
      <c r="B36" s="21"/>
      <c r="C36" s="21"/>
      <c r="D36" s="21"/>
      <c r="E36" s="21"/>
      <c r="F36" s="21"/>
      <c r="G36" s="21"/>
      <c r="H36" s="21"/>
    </row>
    <row r="37" hidden="1" spans="1:8">
      <c r="A37" s="20"/>
      <c r="B37" s="21"/>
      <c r="C37" s="21"/>
      <c r="D37" s="21"/>
      <c r="E37" s="21"/>
      <c r="F37" s="21"/>
      <c r="G37" s="21"/>
      <c r="H37" s="21"/>
    </row>
    <row r="38" hidden="1" spans="1:8">
      <c r="A38" s="20"/>
      <c r="B38" s="21"/>
      <c r="C38" s="21"/>
      <c r="D38" s="21"/>
      <c r="E38" s="21"/>
      <c r="F38" s="21"/>
      <c r="G38" s="21"/>
      <c r="H38" s="21"/>
    </row>
    <row r="39" hidden="1" spans="1:8">
      <c r="A39" s="20"/>
      <c r="B39" s="21"/>
      <c r="C39" s="21"/>
      <c r="D39" s="21"/>
      <c r="E39" s="21"/>
      <c r="F39" s="21"/>
      <c r="G39" s="21"/>
      <c r="H39" s="21"/>
    </row>
    <row r="40" hidden="1" spans="1:8">
      <c r="A40" s="20"/>
      <c r="B40" s="21"/>
      <c r="C40" s="21"/>
      <c r="D40" s="21"/>
      <c r="E40" s="21"/>
      <c r="F40" s="21"/>
      <c r="G40" s="21"/>
      <c r="H40" s="21"/>
    </row>
    <row r="41" hidden="1"/>
    <row r="42" hidden="1" spans="1:8">
      <c r="A42" s="26" t="s">
        <v>395</v>
      </c>
      <c r="B42" s="26"/>
      <c r="C42" s="26"/>
      <c r="D42" s="26"/>
      <c r="E42" s="26"/>
      <c r="F42" s="26"/>
      <c r="G42" s="26"/>
      <c r="H42" s="26"/>
    </row>
    <row r="43" hidden="1"/>
    <row r="44" ht="48" hidden="1" spans="1:8">
      <c r="A44" s="25" t="s">
        <v>389</v>
      </c>
      <c r="B44" s="27" t="s">
        <v>396</v>
      </c>
      <c r="C44" s="28"/>
      <c r="D44" s="29"/>
      <c r="E44" s="18" t="s">
        <v>397</v>
      </c>
      <c r="F44" s="18" t="s">
        <v>398</v>
      </c>
      <c r="G44" s="18" t="s">
        <v>399</v>
      </c>
      <c r="H44" s="18" t="s">
        <v>400</v>
      </c>
    </row>
    <row r="45" hidden="1" spans="1:8">
      <c r="A45" s="19">
        <v>1</v>
      </c>
      <c r="B45" s="30">
        <v>2</v>
      </c>
      <c r="C45" s="31"/>
      <c r="D45" s="32"/>
      <c r="E45" s="19">
        <v>3</v>
      </c>
      <c r="F45" s="19">
        <v>4</v>
      </c>
      <c r="G45" s="19">
        <v>5</v>
      </c>
      <c r="H45" s="19">
        <v>6</v>
      </c>
    </row>
    <row r="46" hidden="1" spans="1:8">
      <c r="A46" s="20">
        <v>1</v>
      </c>
      <c r="B46" s="33" t="s">
        <v>401</v>
      </c>
      <c r="C46" s="34"/>
      <c r="D46" s="35"/>
      <c r="E46" s="36"/>
      <c r="F46" s="36">
        <f>F48</f>
        <v>0</v>
      </c>
      <c r="G46" s="36">
        <f t="shared" ref="G46:H46" si="4">G48</f>
        <v>0</v>
      </c>
      <c r="H46" s="36">
        <f t="shared" si="4"/>
        <v>0</v>
      </c>
    </row>
    <row r="47" hidden="1" spans="1:8">
      <c r="A47" s="20"/>
      <c r="B47" s="33" t="s">
        <v>54</v>
      </c>
      <c r="C47" s="34"/>
      <c r="D47" s="35"/>
      <c r="E47" s="36"/>
      <c r="F47" s="36"/>
      <c r="G47" s="36"/>
      <c r="H47" s="36"/>
    </row>
    <row r="48" hidden="1" spans="1:8">
      <c r="A48" s="37"/>
      <c r="B48" s="33" t="s">
        <v>402</v>
      </c>
      <c r="C48" s="34"/>
      <c r="D48" s="35"/>
      <c r="E48" s="36">
        <f>I22+I27</f>
        <v>0</v>
      </c>
      <c r="F48" s="36">
        <f>ROUND(E48*0.22,0)</f>
        <v>0</v>
      </c>
      <c r="G48" s="36">
        <f>ROUND(J28*0.22,0)</f>
        <v>0</v>
      </c>
      <c r="H48" s="36">
        <f>ROUND(K28*0.22,0)</f>
        <v>0</v>
      </c>
    </row>
    <row r="49" hidden="1" spans="1:8">
      <c r="A49" s="20">
        <v>2</v>
      </c>
      <c r="B49" s="33" t="s">
        <v>403</v>
      </c>
      <c r="C49" s="34"/>
      <c r="D49" s="35"/>
      <c r="E49" s="36"/>
      <c r="F49" s="36">
        <f>F50+F51</f>
        <v>0</v>
      </c>
      <c r="G49" s="36">
        <f t="shared" ref="G49:H49" si="5">G50+G51</f>
        <v>0</v>
      </c>
      <c r="H49" s="36">
        <f t="shared" si="5"/>
        <v>0</v>
      </c>
    </row>
    <row r="50" hidden="1" spans="1:8">
      <c r="A50" s="20"/>
      <c r="B50" s="33" t="s">
        <v>404</v>
      </c>
      <c r="C50" s="34"/>
      <c r="D50" s="35"/>
      <c r="E50" s="36">
        <f>E48</f>
        <v>0</v>
      </c>
      <c r="F50" s="36">
        <f>ROUND(E50*0.029,0)</f>
        <v>0</v>
      </c>
      <c r="G50" s="36">
        <f>ROUND(J28*0.029,0)</f>
        <v>0</v>
      </c>
      <c r="H50" s="36">
        <f>ROUND(K28*0.029,0)</f>
        <v>0</v>
      </c>
    </row>
    <row r="51" hidden="1" spans="1:8">
      <c r="A51" s="20"/>
      <c r="B51" s="33" t="s">
        <v>405</v>
      </c>
      <c r="C51" s="34"/>
      <c r="D51" s="35"/>
      <c r="E51" s="36">
        <f>E50</f>
        <v>0</v>
      </c>
      <c r="F51" s="36">
        <f>ROUND(E51*0.002,0)</f>
        <v>0</v>
      </c>
      <c r="G51" s="36">
        <f>ROUND(J28*0.002,0)</f>
        <v>0</v>
      </c>
      <c r="H51" s="36">
        <f>ROUND(K28*0.002,0)</f>
        <v>0</v>
      </c>
    </row>
    <row r="52" hidden="1" spans="1:8">
      <c r="A52" s="20">
        <v>3</v>
      </c>
      <c r="B52" s="33" t="s">
        <v>406</v>
      </c>
      <c r="C52" s="34"/>
      <c r="D52" s="35"/>
      <c r="E52" s="36">
        <f>E51</f>
        <v>0</v>
      </c>
      <c r="F52" s="36">
        <f>ROUND(E52*0.051,0)</f>
        <v>0</v>
      </c>
      <c r="G52" s="36">
        <f>ROUND(J28*0.051,0)</f>
        <v>0</v>
      </c>
      <c r="H52" s="36">
        <f>ROUND(K28*0.051,0)</f>
        <v>0</v>
      </c>
    </row>
    <row r="53" s="4" customFormat="1" ht="14.25" hidden="1" spans="1:11">
      <c r="A53" s="23"/>
      <c r="B53" s="38" t="s">
        <v>387</v>
      </c>
      <c r="C53" s="38"/>
      <c r="D53" s="38"/>
      <c r="E53" s="39"/>
      <c r="F53" s="39">
        <f>F46+F49+F52</f>
        <v>0</v>
      </c>
      <c r="G53" s="39">
        <f t="shared" ref="G53:H53" si="6">G46+G49+G52</f>
        <v>0</v>
      </c>
      <c r="H53" s="39">
        <f t="shared" si="6"/>
        <v>0</v>
      </c>
      <c r="I53" s="44"/>
      <c r="J53" s="44"/>
      <c r="K53" s="44"/>
    </row>
    <row r="54" hidden="1"/>
    <row r="55" s="5" customFormat="1" ht="14.25" hidden="1" spans="1:11">
      <c r="A55" s="5" t="s">
        <v>407</v>
      </c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hidden="1"/>
    <row r="57" ht="24" hidden="1" spans="1:8">
      <c r="A57" s="25" t="s">
        <v>389</v>
      </c>
      <c r="B57" s="27" t="s">
        <v>24</v>
      </c>
      <c r="C57" s="29"/>
      <c r="D57" s="18" t="s">
        <v>408</v>
      </c>
      <c r="E57" s="18" t="s">
        <v>409</v>
      </c>
      <c r="F57" s="18" t="s">
        <v>410</v>
      </c>
      <c r="G57" s="18" t="s">
        <v>411</v>
      </c>
      <c r="H57" s="18" t="s">
        <v>412</v>
      </c>
    </row>
    <row r="58" hidden="1" spans="1:8">
      <c r="A58" s="19">
        <v>1</v>
      </c>
      <c r="B58" s="30">
        <v>2</v>
      </c>
      <c r="C58" s="32"/>
      <c r="D58" s="19">
        <v>3</v>
      </c>
      <c r="E58" s="19">
        <v>4</v>
      </c>
      <c r="F58" s="19">
        <v>5</v>
      </c>
      <c r="G58" s="19">
        <v>6</v>
      </c>
      <c r="H58" s="19">
        <v>7</v>
      </c>
    </row>
    <row r="59" hidden="1" spans="1:8">
      <c r="A59" s="20">
        <v>1</v>
      </c>
      <c r="B59" s="30" t="s">
        <v>413</v>
      </c>
      <c r="C59" s="32"/>
      <c r="D59" s="21"/>
      <c r="E59" s="21"/>
      <c r="F59" s="36">
        <f>D59*E59</f>
        <v>0</v>
      </c>
      <c r="G59" s="36"/>
      <c r="H59" s="36"/>
    </row>
    <row r="60" hidden="1" spans="1:8">
      <c r="A60" s="20">
        <v>2</v>
      </c>
      <c r="B60" s="30" t="s">
        <v>414</v>
      </c>
      <c r="C60" s="32"/>
      <c r="D60" s="21"/>
      <c r="E60" s="21"/>
      <c r="F60" s="36">
        <f t="shared" ref="F60:F64" si="7">D60*E60</f>
        <v>0</v>
      </c>
      <c r="G60" s="36"/>
      <c r="H60" s="36"/>
    </row>
    <row r="61" hidden="1" spans="1:8">
      <c r="A61" s="20">
        <v>1</v>
      </c>
      <c r="B61" s="78" t="s">
        <v>386</v>
      </c>
      <c r="C61" s="79"/>
      <c r="D61" s="21"/>
      <c r="E61" s="21"/>
      <c r="F61" s="36">
        <f t="shared" si="7"/>
        <v>0</v>
      </c>
      <c r="G61" s="36">
        <v>0</v>
      </c>
      <c r="H61" s="36">
        <v>0</v>
      </c>
    </row>
    <row r="62" hidden="1" spans="1:8">
      <c r="A62" s="20">
        <v>2</v>
      </c>
      <c r="B62" s="30" t="s">
        <v>574</v>
      </c>
      <c r="C62" s="32"/>
      <c r="D62" s="21"/>
      <c r="E62" s="21"/>
      <c r="F62" s="36">
        <f t="shared" si="7"/>
        <v>0</v>
      </c>
      <c r="G62" s="36">
        <v>0</v>
      </c>
      <c r="H62" s="36">
        <v>0</v>
      </c>
    </row>
    <row r="63" hidden="1" spans="1:8">
      <c r="A63" s="20">
        <v>3</v>
      </c>
      <c r="B63" s="30"/>
      <c r="C63" s="32"/>
      <c r="D63" s="21"/>
      <c r="E63" s="21"/>
      <c r="F63" s="36">
        <f t="shared" si="7"/>
        <v>0</v>
      </c>
      <c r="G63" s="36"/>
      <c r="H63" s="36"/>
    </row>
    <row r="64" hidden="1" spans="1:8">
      <c r="A64" s="20"/>
      <c r="B64" s="30"/>
      <c r="C64" s="32"/>
      <c r="D64" s="21"/>
      <c r="E64" s="21"/>
      <c r="F64" s="36">
        <f t="shared" si="7"/>
        <v>0</v>
      </c>
      <c r="G64" s="36"/>
      <c r="H64" s="36"/>
    </row>
    <row r="65" s="4" customFormat="1" ht="14.25" hidden="1" spans="1:11">
      <c r="A65" s="23"/>
      <c r="B65" s="45" t="s">
        <v>387</v>
      </c>
      <c r="C65" s="46"/>
      <c r="D65" s="24"/>
      <c r="E65" s="24"/>
      <c r="F65" s="39">
        <f>SUM(F59:F64)</f>
        <v>0</v>
      </c>
      <c r="G65" s="39">
        <f t="shared" ref="G65:H65" si="8">SUM(G59:G64)</f>
        <v>0</v>
      </c>
      <c r="H65" s="39">
        <f t="shared" si="8"/>
        <v>0</v>
      </c>
      <c r="I65" s="44"/>
      <c r="J65" s="44"/>
      <c r="K65" s="44"/>
    </row>
    <row r="66" hidden="1"/>
    <row r="67" s="5" customFormat="1" ht="14.25" hidden="1" spans="1:11">
      <c r="A67" s="5" t="s">
        <v>415</v>
      </c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hidden="1"/>
    <row r="69" ht="72" hidden="1" spans="1:8">
      <c r="A69" s="25" t="s">
        <v>389</v>
      </c>
      <c r="B69" s="27" t="s">
        <v>416</v>
      </c>
      <c r="C69" s="29"/>
      <c r="D69" s="18" t="s">
        <v>417</v>
      </c>
      <c r="E69" s="18" t="s">
        <v>418</v>
      </c>
      <c r="F69" s="18" t="s">
        <v>419</v>
      </c>
      <c r="G69" s="18" t="s">
        <v>420</v>
      </c>
      <c r="H69" s="18" t="s">
        <v>421</v>
      </c>
    </row>
    <row r="70" hidden="1" spans="1:8">
      <c r="A70" s="19">
        <v>1</v>
      </c>
      <c r="B70" s="30">
        <v>2</v>
      </c>
      <c r="C70" s="32"/>
      <c r="D70" s="19">
        <v>3</v>
      </c>
      <c r="E70" s="19">
        <v>4</v>
      </c>
      <c r="F70" s="19">
        <v>5</v>
      </c>
      <c r="G70" s="19">
        <v>6</v>
      </c>
      <c r="H70" s="19">
        <v>7</v>
      </c>
    </row>
    <row r="71" hidden="1" spans="1:8">
      <c r="A71" s="20">
        <v>1</v>
      </c>
      <c r="B71" s="47" t="s">
        <v>422</v>
      </c>
      <c r="C71" s="48"/>
      <c r="D71" s="21"/>
      <c r="E71" s="49">
        <v>0.015</v>
      </c>
      <c r="F71" s="36">
        <f>ROUND(D71*E71,0)</f>
        <v>0</v>
      </c>
      <c r="G71" s="36">
        <f>F71</f>
        <v>0</v>
      </c>
      <c r="H71" s="36">
        <f>G71</f>
        <v>0</v>
      </c>
    </row>
    <row r="72" hidden="1" spans="1:8">
      <c r="A72" s="20">
        <v>2</v>
      </c>
      <c r="B72" s="47" t="s">
        <v>422</v>
      </c>
      <c r="C72" s="48"/>
      <c r="D72" s="21"/>
      <c r="E72" s="49">
        <v>0.015</v>
      </c>
      <c r="F72" s="36">
        <f t="shared" ref="F72:F75" si="9">ROUND(D72*E72,0)</f>
        <v>0</v>
      </c>
      <c r="G72" s="36">
        <f t="shared" ref="G72:H74" si="10">F72</f>
        <v>0</v>
      </c>
      <c r="H72" s="36">
        <f t="shared" si="10"/>
        <v>0</v>
      </c>
    </row>
    <row r="73" hidden="1" spans="1:8">
      <c r="A73" s="20">
        <v>3</v>
      </c>
      <c r="B73" s="47" t="s">
        <v>422</v>
      </c>
      <c r="C73" s="48"/>
      <c r="D73" s="21"/>
      <c r="E73" s="49">
        <v>0.015</v>
      </c>
      <c r="F73" s="36">
        <f t="shared" si="9"/>
        <v>0</v>
      </c>
      <c r="G73" s="36">
        <f t="shared" si="10"/>
        <v>0</v>
      </c>
      <c r="H73" s="36">
        <f t="shared" si="10"/>
        <v>0</v>
      </c>
    </row>
    <row r="74" hidden="1" spans="1:8">
      <c r="A74" s="20">
        <v>4</v>
      </c>
      <c r="B74" s="47" t="s">
        <v>422</v>
      </c>
      <c r="C74" s="48"/>
      <c r="D74" s="21"/>
      <c r="E74" s="49">
        <v>0.015</v>
      </c>
      <c r="F74" s="36">
        <f t="shared" si="9"/>
        <v>0</v>
      </c>
      <c r="G74" s="36">
        <f t="shared" si="10"/>
        <v>0</v>
      </c>
      <c r="H74" s="36">
        <f t="shared" si="10"/>
        <v>0</v>
      </c>
    </row>
    <row r="75" hidden="1" spans="1:8">
      <c r="A75" s="20">
        <v>5</v>
      </c>
      <c r="B75" s="47" t="s">
        <v>423</v>
      </c>
      <c r="C75" s="48"/>
      <c r="D75" s="21"/>
      <c r="E75" s="49">
        <v>0.022</v>
      </c>
      <c r="F75" s="36">
        <f t="shared" si="9"/>
        <v>0</v>
      </c>
      <c r="G75" s="36">
        <f>F75</f>
        <v>0</v>
      </c>
      <c r="H75" s="36">
        <f>G75</f>
        <v>0</v>
      </c>
    </row>
    <row r="76" hidden="1" spans="1:8">
      <c r="A76" s="20"/>
      <c r="B76" s="30"/>
      <c r="C76" s="32"/>
      <c r="D76" s="21"/>
      <c r="E76" s="21"/>
      <c r="F76" s="36"/>
      <c r="G76" s="36"/>
      <c r="H76" s="36"/>
    </row>
    <row r="77" s="4" customFormat="1" ht="14.25" hidden="1" spans="1:11">
      <c r="A77" s="23"/>
      <c r="B77" s="45" t="s">
        <v>387</v>
      </c>
      <c r="C77" s="46"/>
      <c r="D77" s="24"/>
      <c r="E77" s="24"/>
      <c r="F77" s="39">
        <f>SUM(F71:F76)</f>
        <v>0</v>
      </c>
      <c r="G77" s="39">
        <f>SUM(G71:G76)</f>
        <v>0</v>
      </c>
      <c r="H77" s="39">
        <f>SUM(H71:H76)</f>
        <v>0</v>
      </c>
      <c r="I77" s="44"/>
      <c r="J77" s="44"/>
      <c r="K77" s="44"/>
    </row>
    <row r="78" hidden="1"/>
    <row r="79" hidden="1" spans="1:8">
      <c r="A79" s="50" t="s">
        <v>424</v>
      </c>
      <c r="B79" s="50"/>
      <c r="C79" s="50"/>
      <c r="D79" s="50"/>
      <c r="E79" s="50"/>
      <c r="F79" s="50"/>
      <c r="G79" s="50"/>
      <c r="H79" s="50"/>
    </row>
    <row r="80" hidden="1"/>
    <row r="81" ht="36" hidden="1" spans="1:8">
      <c r="A81" s="25" t="s">
        <v>389</v>
      </c>
      <c r="B81" s="27" t="s">
        <v>24</v>
      </c>
      <c r="C81" s="29"/>
      <c r="D81" s="18" t="s">
        <v>425</v>
      </c>
      <c r="E81" s="18" t="s">
        <v>409</v>
      </c>
      <c r="F81" s="18" t="s">
        <v>426</v>
      </c>
      <c r="G81" s="18" t="s">
        <v>426</v>
      </c>
      <c r="H81" s="18" t="s">
        <v>426</v>
      </c>
    </row>
    <row r="82" hidden="1" spans="1:8">
      <c r="A82" s="19">
        <v>1</v>
      </c>
      <c r="B82" s="30">
        <v>2</v>
      </c>
      <c r="C82" s="32"/>
      <c r="D82" s="19">
        <v>3</v>
      </c>
      <c r="E82" s="19">
        <v>4</v>
      </c>
      <c r="F82" s="19">
        <v>5</v>
      </c>
      <c r="G82" s="19">
        <v>6</v>
      </c>
      <c r="H82" s="19">
        <v>7</v>
      </c>
    </row>
    <row r="83" hidden="1" spans="1:8">
      <c r="A83" s="20"/>
      <c r="B83" s="30"/>
      <c r="C83" s="32"/>
      <c r="D83" s="21"/>
      <c r="E83" s="21"/>
      <c r="F83" s="21"/>
      <c r="G83" s="21"/>
      <c r="H83" s="21"/>
    </row>
    <row r="84" hidden="1" spans="1:8">
      <c r="A84" s="20"/>
      <c r="B84" s="30"/>
      <c r="C84" s="32"/>
      <c r="D84" s="21"/>
      <c r="E84" s="21"/>
      <c r="F84" s="21"/>
      <c r="G84" s="21"/>
      <c r="H84" s="21"/>
    </row>
    <row r="85" hidden="1" spans="1:8">
      <c r="A85" s="20"/>
      <c r="B85" s="30"/>
      <c r="C85" s="32"/>
      <c r="D85" s="21"/>
      <c r="E85" s="21"/>
      <c r="F85" s="21"/>
      <c r="G85" s="21"/>
      <c r="H85" s="21"/>
    </row>
    <row r="86" hidden="1" spans="1:8">
      <c r="A86" s="20"/>
      <c r="B86" s="30"/>
      <c r="C86" s="32"/>
      <c r="D86" s="21"/>
      <c r="E86" s="21"/>
      <c r="F86" s="21"/>
      <c r="G86" s="21"/>
      <c r="H86" s="21"/>
    </row>
    <row r="87" hidden="1" spans="1:8">
      <c r="A87" s="20"/>
      <c r="B87" s="30"/>
      <c r="C87" s="32"/>
      <c r="D87" s="21"/>
      <c r="E87" s="21"/>
      <c r="F87" s="21"/>
      <c r="G87" s="21"/>
      <c r="H87" s="21"/>
    </row>
    <row r="88" hidden="1" spans="1:8">
      <c r="A88" s="20"/>
      <c r="B88" s="30"/>
      <c r="C88" s="32"/>
      <c r="D88" s="21"/>
      <c r="E88" s="21"/>
      <c r="F88" s="21"/>
      <c r="G88" s="21"/>
      <c r="H88" s="21"/>
    </row>
    <row r="89" hidden="1" spans="1:8">
      <c r="A89" s="20"/>
      <c r="B89" s="30" t="s">
        <v>387</v>
      </c>
      <c r="C89" s="32"/>
      <c r="D89" s="21"/>
      <c r="E89" s="21"/>
      <c r="F89" s="21"/>
      <c r="G89" s="21"/>
      <c r="H89" s="21"/>
    </row>
    <row r="90" hidden="1"/>
    <row r="91" s="5" customFormat="1" ht="14.25" spans="1:11">
      <c r="A91" s="5" t="s">
        <v>427</v>
      </c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="5" customFormat="1" ht="14.25" hidden="1" customHeight="1" spans="1:11">
      <c r="A92" s="5" t="s">
        <v>428</v>
      </c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hidden="1" customHeight="1"/>
    <row r="94" ht="24.75" hidden="1" customHeight="1" spans="1:9">
      <c r="A94" s="25" t="s">
        <v>389</v>
      </c>
      <c r="B94" s="27" t="s">
        <v>560</v>
      </c>
      <c r="C94" s="29"/>
      <c r="D94" s="18" t="s">
        <v>429</v>
      </c>
      <c r="E94" s="18" t="s">
        <v>430</v>
      </c>
      <c r="F94" s="18" t="s">
        <v>431</v>
      </c>
      <c r="G94" s="18" t="s">
        <v>410</v>
      </c>
      <c r="H94" s="18" t="s">
        <v>411</v>
      </c>
      <c r="I94" s="18" t="s">
        <v>412</v>
      </c>
    </row>
    <row r="95" hidden="1" customHeight="1" spans="1:9">
      <c r="A95" s="19">
        <v>1</v>
      </c>
      <c r="B95" s="30">
        <v>2</v>
      </c>
      <c r="C95" s="32"/>
      <c r="D95" s="19">
        <v>3</v>
      </c>
      <c r="E95" s="19">
        <v>4</v>
      </c>
      <c r="F95" s="19">
        <v>5</v>
      </c>
      <c r="G95" s="19">
        <v>6</v>
      </c>
      <c r="H95" s="19">
        <v>7</v>
      </c>
      <c r="I95" s="19">
        <v>8</v>
      </c>
    </row>
    <row r="96" hidden="1" customHeight="1" spans="1:9">
      <c r="A96" s="20"/>
      <c r="B96" s="47" t="s">
        <v>561</v>
      </c>
      <c r="C96" s="48"/>
      <c r="D96" s="21"/>
      <c r="E96" s="21"/>
      <c r="F96" s="21"/>
      <c r="G96" s="36"/>
      <c r="H96" s="36"/>
      <c r="I96" s="36"/>
    </row>
    <row r="97" hidden="1" customHeight="1" spans="1:9">
      <c r="A97" s="20"/>
      <c r="B97" s="47" t="s">
        <v>434</v>
      </c>
      <c r="C97" s="48"/>
      <c r="D97" s="21"/>
      <c r="E97" s="21">
        <v>12</v>
      </c>
      <c r="F97" s="21">
        <v>247.8</v>
      </c>
      <c r="G97" s="36">
        <f>D97*E97*F97</f>
        <v>0</v>
      </c>
      <c r="H97" s="36"/>
      <c r="I97" s="36"/>
    </row>
    <row r="98" hidden="1" customHeight="1" spans="1:9">
      <c r="A98" s="20"/>
      <c r="B98" s="47" t="s">
        <v>435</v>
      </c>
      <c r="C98" s="48"/>
      <c r="D98" s="21"/>
      <c r="E98" s="21">
        <v>12</v>
      </c>
      <c r="F98" s="21">
        <v>0.61</v>
      </c>
      <c r="G98" s="36">
        <f t="shared" ref="G98:G99" si="11">D98*E98*F98</f>
        <v>0</v>
      </c>
      <c r="H98" s="36"/>
      <c r="I98" s="36"/>
    </row>
    <row r="99" hidden="1" customHeight="1" spans="1:9">
      <c r="A99" s="20"/>
      <c r="B99" s="47" t="s">
        <v>436</v>
      </c>
      <c r="C99" s="48"/>
      <c r="D99" s="21"/>
      <c r="E99" s="21">
        <v>12</v>
      </c>
      <c r="F99" s="21">
        <v>2341.43</v>
      </c>
      <c r="G99" s="36">
        <f t="shared" si="11"/>
        <v>0</v>
      </c>
      <c r="H99" s="36"/>
      <c r="I99" s="36"/>
    </row>
    <row r="100" hidden="1" customHeight="1" spans="1:9">
      <c r="A100" s="20"/>
      <c r="B100" s="30"/>
      <c r="C100" s="32"/>
      <c r="D100" s="21"/>
      <c r="E100" s="21"/>
      <c r="F100" s="21"/>
      <c r="G100" s="36"/>
      <c r="H100" s="36"/>
      <c r="I100" s="36"/>
    </row>
    <row r="101" hidden="1" customHeight="1" spans="1:9">
      <c r="A101" s="20"/>
      <c r="B101" s="30"/>
      <c r="C101" s="32"/>
      <c r="D101" s="21"/>
      <c r="E101" s="21"/>
      <c r="F101" s="21"/>
      <c r="G101" s="36"/>
      <c r="H101" s="36"/>
      <c r="I101" s="36"/>
    </row>
    <row r="102" s="4" customFormat="1" hidden="1" customHeight="1" spans="1:11">
      <c r="A102" s="23"/>
      <c r="B102" s="45" t="s">
        <v>387</v>
      </c>
      <c r="C102" s="46"/>
      <c r="D102" s="24"/>
      <c r="E102" s="24"/>
      <c r="F102" s="24"/>
      <c r="G102" s="39">
        <f>ROUND(SUM(G96:G101),0)</f>
        <v>0</v>
      </c>
      <c r="H102" s="39">
        <f t="shared" ref="H102:I102" si="12">SUM(H96:H101)</f>
        <v>0</v>
      </c>
      <c r="I102" s="39">
        <f t="shared" si="12"/>
        <v>0</v>
      </c>
      <c r="J102" s="44"/>
      <c r="K102" s="44"/>
    </row>
    <row r="103" hidden="1" customHeight="1"/>
    <row r="104" s="5" customFormat="1" ht="14.25" hidden="1" customHeight="1" spans="1:11">
      <c r="A104" s="5" t="s">
        <v>437</v>
      </c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hidden="1" customHeight="1"/>
    <row r="106" ht="36.75" hidden="1" customHeight="1" spans="1:8">
      <c r="A106" s="25" t="s">
        <v>389</v>
      </c>
      <c r="B106" s="27" t="s">
        <v>416</v>
      </c>
      <c r="C106" s="29"/>
      <c r="D106" s="18" t="s">
        <v>438</v>
      </c>
      <c r="E106" s="18" t="s">
        <v>439</v>
      </c>
      <c r="F106" s="18" t="s">
        <v>410</v>
      </c>
      <c r="G106" s="18" t="s">
        <v>411</v>
      </c>
      <c r="H106" s="18" t="s">
        <v>412</v>
      </c>
    </row>
    <row r="107" hidden="1" customHeight="1" spans="1:8">
      <c r="A107" s="19">
        <v>1</v>
      </c>
      <c r="B107" s="30">
        <v>2</v>
      </c>
      <c r="C107" s="32"/>
      <c r="D107" s="19">
        <v>3</v>
      </c>
      <c r="E107" s="19">
        <v>4</v>
      </c>
      <c r="F107" s="19">
        <v>5</v>
      </c>
      <c r="G107" s="19">
        <v>6</v>
      </c>
      <c r="H107" s="19">
        <v>7</v>
      </c>
    </row>
    <row r="108" hidden="1" customHeight="1" spans="1:8">
      <c r="A108" s="20">
        <v>1</v>
      </c>
      <c r="B108" s="30" t="s">
        <v>440</v>
      </c>
      <c r="C108" s="32"/>
      <c r="D108" s="21"/>
      <c r="E108" s="21"/>
      <c r="F108" s="21">
        <f>D108*E108</f>
        <v>0</v>
      </c>
      <c r="G108" s="21"/>
      <c r="H108" s="21"/>
    </row>
    <row r="109" hidden="1" customHeight="1" spans="1:8">
      <c r="A109" s="20"/>
      <c r="B109" s="30"/>
      <c r="C109" s="32"/>
      <c r="D109" s="21"/>
      <c r="E109" s="21"/>
      <c r="F109" s="21">
        <f t="shared" ref="F109:F113" si="13">D109*E109</f>
        <v>0</v>
      </c>
      <c r="G109" s="21"/>
      <c r="H109" s="21"/>
    </row>
    <row r="110" hidden="1" customHeight="1" spans="1:8">
      <c r="A110" s="20"/>
      <c r="B110" s="30"/>
      <c r="C110" s="32"/>
      <c r="D110" s="21"/>
      <c r="E110" s="21"/>
      <c r="F110" s="21">
        <f t="shared" si="13"/>
        <v>0</v>
      </c>
      <c r="G110" s="21"/>
      <c r="H110" s="21"/>
    </row>
    <row r="111" hidden="1" customHeight="1" spans="1:8">
      <c r="A111" s="20"/>
      <c r="B111" s="30"/>
      <c r="C111" s="32"/>
      <c r="D111" s="21"/>
      <c r="E111" s="21"/>
      <c r="F111" s="21">
        <f t="shared" si="13"/>
        <v>0</v>
      </c>
      <c r="G111" s="21"/>
      <c r="H111" s="21"/>
    </row>
    <row r="112" hidden="1" customHeight="1" spans="1:8">
      <c r="A112" s="20"/>
      <c r="B112" s="30"/>
      <c r="C112" s="32"/>
      <c r="D112" s="21"/>
      <c r="E112" s="21"/>
      <c r="F112" s="21">
        <f t="shared" si="13"/>
        <v>0</v>
      </c>
      <c r="G112" s="21"/>
      <c r="H112" s="21"/>
    </row>
    <row r="113" hidden="1" customHeight="1" spans="1:8">
      <c r="A113" s="20"/>
      <c r="B113" s="30"/>
      <c r="C113" s="32"/>
      <c r="D113" s="21"/>
      <c r="E113" s="21"/>
      <c r="F113" s="21">
        <f t="shared" si="13"/>
        <v>0</v>
      </c>
      <c r="G113" s="21"/>
      <c r="H113" s="21"/>
    </row>
    <row r="114" s="4" customFormat="1" hidden="1" customHeight="1" spans="1:11">
      <c r="A114" s="23"/>
      <c r="B114" s="45" t="s">
        <v>387</v>
      </c>
      <c r="C114" s="46"/>
      <c r="D114" s="24"/>
      <c r="E114" s="24"/>
      <c r="F114" s="24">
        <f>SUM(F108:F113)</f>
        <v>0</v>
      </c>
      <c r="G114" s="24">
        <f t="shared" ref="G114:H114" si="14">SUM(G108:G113)</f>
        <v>0</v>
      </c>
      <c r="H114" s="24">
        <f t="shared" si="14"/>
        <v>0</v>
      </c>
      <c r="I114" s="44"/>
      <c r="J114" s="44"/>
      <c r="K114" s="44"/>
    </row>
    <row r="115" hidden="1" customHeight="1"/>
    <row r="116" s="5" customFormat="1" ht="14.25" hidden="1" customHeight="1" spans="1:11">
      <c r="A116" s="5" t="s">
        <v>441</v>
      </c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hidden="1" customHeight="1"/>
    <row r="118" ht="36.75" hidden="1" customHeight="1" spans="1:9">
      <c r="A118" s="25" t="s">
        <v>389</v>
      </c>
      <c r="B118" s="27" t="s">
        <v>24</v>
      </c>
      <c r="C118" s="29"/>
      <c r="D118" s="18" t="s">
        <v>442</v>
      </c>
      <c r="E118" s="18" t="s">
        <v>443</v>
      </c>
      <c r="F118" s="18" t="s">
        <v>444</v>
      </c>
      <c r="G118" s="18" t="s">
        <v>410</v>
      </c>
      <c r="H118" s="18" t="s">
        <v>411</v>
      </c>
      <c r="I118" s="18" t="s">
        <v>412</v>
      </c>
    </row>
    <row r="119" hidden="1" customHeight="1" spans="1:9">
      <c r="A119" s="19">
        <v>1</v>
      </c>
      <c r="B119" s="30">
        <v>2</v>
      </c>
      <c r="C119" s="32"/>
      <c r="D119" s="19">
        <v>3</v>
      </c>
      <c r="E119" s="19">
        <v>4</v>
      </c>
      <c r="F119" s="19">
        <v>5</v>
      </c>
      <c r="G119" s="19">
        <v>6</v>
      </c>
      <c r="H119" s="19">
        <v>7</v>
      </c>
      <c r="I119" s="19">
        <v>8</v>
      </c>
    </row>
    <row r="120" hidden="1" customHeight="1" spans="1:9">
      <c r="A120" s="20"/>
      <c r="B120" s="30" t="s">
        <v>562</v>
      </c>
      <c r="C120" s="32"/>
      <c r="D120" s="21"/>
      <c r="E120" s="21"/>
      <c r="F120" s="21"/>
      <c r="G120" s="21">
        <f>D120*E120*F120</f>
        <v>0</v>
      </c>
      <c r="H120" s="21"/>
      <c r="I120" s="21"/>
    </row>
    <row r="121" hidden="1" customHeight="1" spans="1:9">
      <c r="A121" s="20"/>
      <c r="B121" s="30"/>
      <c r="C121" s="32"/>
      <c r="D121" s="21"/>
      <c r="E121" s="21"/>
      <c r="F121" s="21"/>
      <c r="G121" s="21">
        <f t="shared" ref="G121:G125" si="15">D121*E121*F121</f>
        <v>0</v>
      </c>
      <c r="H121" s="21"/>
      <c r="I121" s="21"/>
    </row>
    <row r="122" hidden="1" customHeight="1" spans="1:9">
      <c r="A122" s="20"/>
      <c r="B122" s="30" t="s">
        <v>562</v>
      </c>
      <c r="C122" s="32"/>
      <c r="D122" s="21"/>
      <c r="E122" s="21"/>
      <c r="F122" s="21"/>
      <c r="G122" s="21">
        <f t="shared" si="15"/>
        <v>0</v>
      </c>
      <c r="H122" s="21"/>
      <c r="I122" s="21"/>
    </row>
    <row r="123" hidden="1" customHeight="1" spans="1:9">
      <c r="A123" s="20"/>
      <c r="B123" s="30"/>
      <c r="C123" s="32"/>
      <c r="D123" s="21"/>
      <c r="E123" s="21"/>
      <c r="F123" s="21"/>
      <c r="G123" s="21">
        <f t="shared" si="15"/>
        <v>0</v>
      </c>
      <c r="H123" s="21"/>
      <c r="I123" s="21"/>
    </row>
    <row r="124" hidden="1" customHeight="1" spans="1:9">
      <c r="A124" s="20"/>
      <c r="B124" s="30" t="s">
        <v>562</v>
      </c>
      <c r="C124" s="32"/>
      <c r="D124" s="21"/>
      <c r="E124" s="21"/>
      <c r="F124" s="21"/>
      <c r="G124" s="21">
        <f t="shared" si="15"/>
        <v>0</v>
      </c>
      <c r="H124" s="21"/>
      <c r="I124" s="21"/>
    </row>
    <row r="125" hidden="1" customHeight="1" spans="1:9">
      <c r="A125" s="20"/>
      <c r="B125" s="30"/>
      <c r="C125" s="32"/>
      <c r="D125" s="21"/>
      <c r="E125" s="21"/>
      <c r="F125" s="21"/>
      <c r="G125" s="21">
        <f t="shared" si="15"/>
        <v>0</v>
      </c>
      <c r="H125" s="21"/>
      <c r="I125" s="21"/>
    </row>
    <row r="126" s="4" customFormat="1" hidden="1" customHeight="1" spans="1:11">
      <c r="A126" s="23"/>
      <c r="B126" s="45" t="s">
        <v>387</v>
      </c>
      <c r="C126" s="46"/>
      <c r="D126" s="24"/>
      <c r="E126" s="24"/>
      <c r="F126" s="24"/>
      <c r="G126" s="24">
        <f>SUM(G120:G125)</f>
        <v>0</v>
      </c>
      <c r="H126" s="24">
        <f t="shared" ref="H126:I126" si="16">SUM(H120:H125)</f>
        <v>0</v>
      </c>
      <c r="I126" s="24">
        <f t="shared" si="16"/>
        <v>0</v>
      </c>
      <c r="J126" s="44"/>
      <c r="K126" s="44"/>
    </row>
    <row r="127" hidden="1" customHeight="1"/>
    <row r="128" s="5" customFormat="1" ht="14.25" hidden="1" customHeight="1" spans="1:11">
      <c r="A128" s="5" t="s">
        <v>461</v>
      </c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hidden="1" customHeight="1"/>
    <row r="130" ht="48.75" hidden="1" customHeight="1" spans="1:8">
      <c r="A130" s="25" t="s">
        <v>389</v>
      </c>
      <c r="B130" s="27" t="s">
        <v>24</v>
      </c>
      <c r="C130" s="29"/>
      <c r="D130" s="18" t="s">
        <v>462</v>
      </c>
      <c r="E130" s="18" t="s">
        <v>463</v>
      </c>
      <c r="F130" s="18" t="s">
        <v>464</v>
      </c>
      <c r="G130" s="18" t="s">
        <v>464</v>
      </c>
      <c r="H130" s="18" t="s">
        <v>464</v>
      </c>
    </row>
    <row r="131" hidden="1" customHeight="1" spans="1:8">
      <c r="A131" s="19">
        <v>1</v>
      </c>
      <c r="B131" s="30">
        <v>2</v>
      </c>
      <c r="C131" s="32"/>
      <c r="D131" s="19">
        <v>3</v>
      </c>
      <c r="E131" s="19">
        <v>4</v>
      </c>
      <c r="F131" s="19">
        <v>5</v>
      </c>
      <c r="G131" s="19">
        <v>6</v>
      </c>
      <c r="H131" s="19">
        <v>7</v>
      </c>
    </row>
    <row r="132" hidden="1" customHeight="1" spans="1:8">
      <c r="A132" s="20"/>
      <c r="B132" s="30"/>
      <c r="C132" s="32"/>
      <c r="D132" s="21"/>
      <c r="E132" s="21"/>
      <c r="F132" s="21"/>
      <c r="G132" s="21"/>
      <c r="H132" s="21"/>
    </row>
    <row r="133" hidden="1" customHeight="1" spans="1:8">
      <c r="A133" s="20"/>
      <c r="B133" s="30"/>
      <c r="C133" s="32"/>
      <c r="D133" s="21"/>
      <c r="E133" s="21"/>
      <c r="F133" s="21"/>
      <c r="G133" s="21"/>
      <c r="H133" s="21"/>
    </row>
    <row r="134" hidden="1" customHeight="1" spans="1:8">
      <c r="A134" s="20"/>
      <c r="B134" s="30"/>
      <c r="C134" s="32"/>
      <c r="D134" s="21"/>
      <c r="E134" s="21"/>
      <c r="F134" s="21"/>
      <c r="G134" s="21"/>
      <c r="H134" s="21"/>
    </row>
    <row r="135" hidden="1" customHeight="1" spans="1:8">
      <c r="A135" s="20"/>
      <c r="B135" s="30"/>
      <c r="C135" s="32"/>
      <c r="D135" s="21"/>
      <c r="E135" s="21"/>
      <c r="F135" s="21"/>
      <c r="G135" s="21"/>
      <c r="H135" s="21"/>
    </row>
    <row r="136" hidden="1" customHeight="1" spans="1:8">
      <c r="A136" s="20"/>
      <c r="B136" s="30"/>
      <c r="C136" s="32"/>
      <c r="D136" s="21"/>
      <c r="E136" s="21"/>
      <c r="F136" s="21"/>
      <c r="G136" s="21"/>
      <c r="H136" s="21"/>
    </row>
    <row r="137" hidden="1" customHeight="1" spans="1:8">
      <c r="A137" s="20"/>
      <c r="B137" s="30"/>
      <c r="C137" s="32"/>
      <c r="D137" s="21"/>
      <c r="E137" s="21"/>
      <c r="F137" s="21"/>
      <c r="G137" s="21"/>
      <c r="H137" s="21"/>
    </row>
    <row r="138" s="4" customFormat="1" hidden="1" customHeight="1" spans="1:11">
      <c r="A138" s="23"/>
      <c r="B138" s="45" t="s">
        <v>387</v>
      </c>
      <c r="C138" s="46"/>
      <c r="D138" s="24"/>
      <c r="E138" s="24"/>
      <c r="F138" s="24">
        <f>SUM(F132:F137)</f>
        <v>0</v>
      </c>
      <c r="G138" s="24">
        <f t="shared" ref="G138:H138" si="17">SUM(G132:G137)</f>
        <v>0</v>
      </c>
      <c r="H138" s="24">
        <f t="shared" si="17"/>
        <v>0</v>
      </c>
      <c r="I138" s="44"/>
      <c r="J138" s="44"/>
      <c r="K138" s="44"/>
    </row>
    <row r="139" hidden="1" customHeight="1"/>
    <row r="140" s="5" customFormat="1" ht="14.25" hidden="1" customHeight="1" spans="1:11">
      <c r="A140" s="5" t="s">
        <v>465</v>
      </c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hidden="1" customHeight="1"/>
    <row r="142" ht="24.75" hidden="1" customHeight="1" spans="1:8">
      <c r="A142" s="25" t="s">
        <v>389</v>
      </c>
      <c r="B142" s="27" t="s">
        <v>24</v>
      </c>
      <c r="C142" s="29"/>
      <c r="D142" s="18" t="s">
        <v>466</v>
      </c>
      <c r="E142" s="18" t="s">
        <v>467</v>
      </c>
      <c r="F142" s="18" t="s">
        <v>410</v>
      </c>
      <c r="G142" s="18" t="s">
        <v>411</v>
      </c>
      <c r="H142" s="18" t="s">
        <v>412</v>
      </c>
    </row>
    <row r="143" hidden="1" customHeight="1" spans="1:8">
      <c r="A143" s="19">
        <v>1</v>
      </c>
      <c r="B143" s="30">
        <v>2</v>
      </c>
      <c r="C143" s="32"/>
      <c r="D143" s="19">
        <v>3</v>
      </c>
      <c r="E143" s="19">
        <v>4</v>
      </c>
      <c r="F143" s="19">
        <v>5</v>
      </c>
      <c r="G143" s="19">
        <v>6</v>
      </c>
      <c r="H143" s="19">
        <v>7</v>
      </c>
    </row>
    <row r="144" hidden="1" customHeight="1" spans="1:8">
      <c r="A144" s="20">
        <v>1</v>
      </c>
      <c r="B144" s="30" t="s">
        <v>563</v>
      </c>
      <c r="C144" s="32"/>
      <c r="D144" s="21"/>
      <c r="E144" s="21">
        <v>2460</v>
      </c>
      <c r="F144" s="21">
        <f>E144*D144</f>
        <v>0</v>
      </c>
      <c r="G144" s="21"/>
      <c r="H144" s="21"/>
    </row>
    <row r="145" hidden="1" customHeight="1" spans="1:8">
      <c r="A145" s="20"/>
      <c r="B145" s="30" t="s">
        <v>564</v>
      </c>
      <c r="C145" s="32"/>
      <c r="D145" s="21"/>
      <c r="E145" s="21"/>
      <c r="F145" s="21">
        <f t="shared" ref="F145:F161" si="18">E145*D145</f>
        <v>0</v>
      </c>
      <c r="G145" s="21"/>
      <c r="H145" s="21"/>
    </row>
    <row r="146" hidden="1" customHeight="1" spans="1:8">
      <c r="A146" s="20"/>
      <c r="B146" s="30"/>
      <c r="C146" s="32"/>
      <c r="D146" s="21"/>
      <c r="E146" s="21"/>
      <c r="F146" s="21">
        <f t="shared" si="18"/>
        <v>0</v>
      </c>
      <c r="G146" s="21"/>
      <c r="H146" s="21"/>
    </row>
    <row r="147" hidden="1" customHeight="1" spans="1:8">
      <c r="A147" s="20"/>
      <c r="B147" s="30"/>
      <c r="C147" s="32"/>
      <c r="D147" s="21"/>
      <c r="E147" s="21"/>
      <c r="F147" s="21">
        <f t="shared" si="18"/>
        <v>0</v>
      </c>
      <c r="G147" s="21"/>
      <c r="H147" s="21"/>
    </row>
    <row r="148" hidden="1" customHeight="1" spans="1:8">
      <c r="A148" s="20"/>
      <c r="B148" s="30"/>
      <c r="C148" s="32"/>
      <c r="D148" s="21"/>
      <c r="E148" s="21"/>
      <c r="F148" s="21">
        <f t="shared" si="18"/>
        <v>0</v>
      </c>
      <c r="G148" s="21"/>
      <c r="H148" s="21"/>
    </row>
    <row r="149" hidden="1" customHeight="1" spans="1:8">
      <c r="A149" s="20"/>
      <c r="B149" s="30"/>
      <c r="C149" s="32"/>
      <c r="D149" s="21"/>
      <c r="E149" s="21"/>
      <c r="F149" s="21">
        <f t="shared" si="18"/>
        <v>0</v>
      </c>
      <c r="G149" s="21"/>
      <c r="H149" s="21"/>
    </row>
    <row r="150" hidden="1" customHeight="1" spans="1:8">
      <c r="A150" s="20"/>
      <c r="B150" s="30"/>
      <c r="C150" s="32"/>
      <c r="D150" s="21"/>
      <c r="E150" s="21"/>
      <c r="F150" s="21">
        <f t="shared" si="18"/>
        <v>0</v>
      </c>
      <c r="G150" s="21"/>
      <c r="H150" s="21"/>
    </row>
    <row r="151" hidden="1" customHeight="1" spans="1:8">
      <c r="A151" s="20"/>
      <c r="B151" s="30"/>
      <c r="C151" s="32"/>
      <c r="D151" s="21"/>
      <c r="E151" s="21"/>
      <c r="F151" s="21">
        <f t="shared" si="18"/>
        <v>0</v>
      </c>
      <c r="G151" s="21"/>
      <c r="H151" s="21"/>
    </row>
    <row r="152" hidden="1" customHeight="1" spans="1:8">
      <c r="A152" s="20"/>
      <c r="B152" s="30"/>
      <c r="C152" s="32"/>
      <c r="D152" s="21"/>
      <c r="E152" s="21"/>
      <c r="F152" s="21">
        <f t="shared" si="18"/>
        <v>0</v>
      </c>
      <c r="G152" s="21"/>
      <c r="H152" s="21"/>
    </row>
    <row r="153" hidden="1" customHeight="1" spans="1:8">
      <c r="A153" s="20"/>
      <c r="B153" s="30"/>
      <c r="C153" s="32"/>
      <c r="D153" s="21"/>
      <c r="E153" s="21"/>
      <c r="F153" s="21">
        <f t="shared" si="18"/>
        <v>0</v>
      </c>
      <c r="G153" s="21"/>
      <c r="H153" s="21"/>
    </row>
    <row r="154" hidden="1" customHeight="1" spans="1:8">
      <c r="A154" s="20"/>
      <c r="B154" s="30"/>
      <c r="C154" s="32"/>
      <c r="D154" s="21"/>
      <c r="E154" s="21"/>
      <c r="F154" s="21">
        <f t="shared" si="18"/>
        <v>0</v>
      </c>
      <c r="G154" s="21"/>
      <c r="H154" s="21"/>
    </row>
    <row r="155" hidden="1" customHeight="1" spans="1:8">
      <c r="A155" s="20"/>
      <c r="B155" s="30"/>
      <c r="C155" s="32"/>
      <c r="D155" s="21"/>
      <c r="E155" s="21"/>
      <c r="F155" s="21">
        <f t="shared" si="18"/>
        <v>0</v>
      </c>
      <c r="G155" s="21"/>
      <c r="H155" s="21"/>
    </row>
    <row r="156" hidden="1" customHeight="1" spans="1:8">
      <c r="A156" s="20"/>
      <c r="B156" s="30"/>
      <c r="C156" s="32"/>
      <c r="D156" s="21"/>
      <c r="E156" s="21"/>
      <c r="F156" s="21">
        <f t="shared" si="18"/>
        <v>0</v>
      </c>
      <c r="G156" s="21"/>
      <c r="H156" s="21"/>
    </row>
    <row r="157" hidden="1" customHeight="1" spans="1:8">
      <c r="A157" s="20"/>
      <c r="B157" s="30"/>
      <c r="C157" s="32"/>
      <c r="D157" s="21"/>
      <c r="E157" s="21"/>
      <c r="F157" s="21">
        <f t="shared" si="18"/>
        <v>0</v>
      </c>
      <c r="G157" s="21"/>
      <c r="H157" s="21"/>
    </row>
    <row r="158" hidden="1" customHeight="1" spans="1:8">
      <c r="A158" s="20"/>
      <c r="B158" s="30"/>
      <c r="C158" s="32"/>
      <c r="D158" s="21"/>
      <c r="E158" s="21"/>
      <c r="F158" s="21">
        <f t="shared" si="18"/>
        <v>0</v>
      </c>
      <c r="G158" s="21"/>
      <c r="H158" s="21"/>
    </row>
    <row r="159" hidden="1" customHeight="1" spans="1:8">
      <c r="A159" s="20"/>
      <c r="B159" s="30"/>
      <c r="C159" s="32"/>
      <c r="D159" s="21"/>
      <c r="E159" s="21"/>
      <c r="F159" s="21">
        <f t="shared" si="18"/>
        <v>0</v>
      </c>
      <c r="G159" s="21"/>
      <c r="H159" s="21"/>
    </row>
    <row r="160" hidden="1" customHeight="1" spans="1:8">
      <c r="A160" s="20"/>
      <c r="B160" s="30"/>
      <c r="C160" s="32"/>
      <c r="D160" s="21"/>
      <c r="E160" s="21"/>
      <c r="F160" s="21">
        <f t="shared" si="18"/>
        <v>0</v>
      </c>
      <c r="G160" s="21"/>
      <c r="H160" s="21"/>
    </row>
    <row r="161" hidden="1" customHeight="1" spans="1:8">
      <c r="A161" s="20"/>
      <c r="B161" s="30"/>
      <c r="C161" s="32"/>
      <c r="D161" s="21"/>
      <c r="E161" s="21"/>
      <c r="F161" s="21">
        <f t="shared" si="18"/>
        <v>0</v>
      </c>
      <c r="G161" s="21"/>
      <c r="H161" s="21"/>
    </row>
    <row r="162" s="4" customFormat="1" hidden="1" customHeight="1" spans="1:11">
      <c r="A162" s="23"/>
      <c r="B162" s="45" t="s">
        <v>387</v>
      </c>
      <c r="C162" s="46"/>
      <c r="D162" s="24"/>
      <c r="E162" s="24"/>
      <c r="F162" s="24">
        <f>SUM(F144:F161)</f>
        <v>0</v>
      </c>
      <c r="G162" s="24">
        <f t="shared" ref="G162:H162" si="19">SUM(G144:G161)</f>
        <v>0</v>
      </c>
      <c r="H162" s="24">
        <f t="shared" si="19"/>
        <v>0</v>
      </c>
      <c r="I162" s="44"/>
      <c r="J162" s="44"/>
      <c r="K162" s="44"/>
    </row>
    <row r="163" hidden="1" customHeight="1"/>
    <row r="164" s="5" customFormat="1" ht="14.25" spans="1:11">
      <c r="A164" s="5" t="s">
        <v>502</v>
      </c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6" ht="24" spans="1:8">
      <c r="A166" s="25" t="s">
        <v>389</v>
      </c>
      <c r="B166" s="27" t="s">
        <v>416</v>
      </c>
      <c r="C166" s="29"/>
      <c r="D166" s="18" t="s">
        <v>466</v>
      </c>
      <c r="E166" s="18" t="s">
        <v>467</v>
      </c>
      <c r="F166" s="18" t="s">
        <v>410</v>
      </c>
      <c r="G166" s="18" t="s">
        <v>411</v>
      </c>
      <c r="H166" s="18" t="s">
        <v>412</v>
      </c>
    </row>
    <row r="167" spans="1:8">
      <c r="A167" s="19">
        <v>1</v>
      </c>
      <c r="B167" s="30">
        <v>2</v>
      </c>
      <c r="C167" s="32"/>
      <c r="D167" s="19">
        <v>3</v>
      </c>
      <c r="E167" s="19">
        <v>4</v>
      </c>
      <c r="F167" s="19">
        <v>5</v>
      </c>
      <c r="G167" s="19">
        <v>6</v>
      </c>
      <c r="H167" s="19">
        <v>7</v>
      </c>
    </row>
    <row r="168" ht="28.5" customHeight="1" spans="1:8">
      <c r="A168" s="20" t="s">
        <v>679</v>
      </c>
      <c r="B168" s="80" t="s">
        <v>680</v>
      </c>
      <c r="C168" s="81"/>
      <c r="D168" s="82"/>
      <c r="E168" s="21"/>
      <c r="F168" s="21">
        <f>E168*D168</f>
        <v>0</v>
      </c>
      <c r="G168" s="21"/>
      <c r="H168" s="21"/>
    </row>
    <row r="169" customHeight="1" spans="1:8">
      <c r="A169" s="20"/>
      <c r="B169" s="80" t="s">
        <v>681</v>
      </c>
      <c r="C169" s="81"/>
      <c r="D169" s="82"/>
      <c r="E169" s="21"/>
      <c r="F169" s="21">
        <f t="shared" ref="F169:F194" si="20">E169*D169</f>
        <v>0</v>
      </c>
      <c r="G169" s="21"/>
      <c r="H169" s="21"/>
    </row>
    <row r="170" ht="33" customHeight="1" spans="1:8">
      <c r="A170" s="20"/>
      <c r="B170" s="80" t="s">
        <v>682</v>
      </c>
      <c r="C170" s="81"/>
      <c r="D170" s="82">
        <v>1</v>
      </c>
      <c r="E170" s="21">
        <f>80*246</f>
        <v>19680</v>
      </c>
      <c r="F170" s="21">
        <f t="shared" si="20"/>
        <v>19680</v>
      </c>
      <c r="G170" s="21">
        <f>F170</f>
        <v>19680</v>
      </c>
      <c r="H170" s="21">
        <f>G170</f>
        <v>19680</v>
      </c>
    </row>
    <row r="171" ht="18" customHeight="1" spans="1:8">
      <c r="A171" s="20"/>
      <c r="B171" s="90" t="s">
        <v>683</v>
      </c>
      <c r="C171" s="91"/>
      <c r="D171" s="82"/>
      <c r="E171" s="21"/>
      <c r="F171" s="21"/>
      <c r="G171" s="21"/>
      <c r="H171" s="21"/>
    </row>
    <row r="172" ht="33" customHeight="1" spans="1:8">
      <c r="A172" s="20"/>
      <c r="B172" s="80" t="s">
        <v>682</v>
      </c>
      <c r="C172" s="81"/>
      <c r="D172" s="83">
        <v>1</v>
      </c>
      <c r="E172" s="21">
        <v>135792</v>
      </c>
      <c r="F172" s="21">
        <f t="shared" ref="F172:F180" si="21">E172*D172</f>
        <v>135792</v>
      </c>
      <c r="G172" s="21">
        <f>F172</f>
        <v>135792</v>
      </c>
      <c r="H172" s="21">
        <f>G172</f>
        <v>135792</v>
      </c>
    </row>
    <row r="173" ht="19.5" customHeight="1" spans="1:8">
      <c r="A173" s="20"/>
      <c r="B173" s="90" t="s">
        <v>684</v>
      </c>
      <c r="C173" s="91"/>
      <c r="D173" s="83"/>
      <c r="E173" s="21"/>
      <c r="F173" s="21"/>
      <c r="G173" s="21"/>
      <c r="H173" s="21"/>
    </row>
    <row r="174" spans="1:8">
      <c r="A174" s="20"/>
      <c r="B174" s="84" t="s">
        <v>685</v>
      </c>
      <c r="C174" s="85"/>
      <c r="D174" s="83">
        <v>1</v>
      </c>
      <c r="E174" s="21">
        <v>59040</v>
      </c>
      <c r="F174" s="21">
        <f t="shared" si="21"/>
        <v>59040</v>
      </c>
      <c r="G174" s="21">
        <f>F174</f>
        <v>59040</v>
      </c>
      <c r="H174" s="21">
        <f>G174</f>
        <v>59040</v>
      </c>
    </row>
    <row r="175" spans="1:8">
      <c r="A175" s="20"/>
      <c r="B175" s="90" t="s">
        <v>686</v>
      </c>
      <c r="C175" s="91"/>
      <c r="D175" s="83"/>
      <c r="E175" s="21"/>
      <c r="F175" s="21"/>
      <c r="G175" s="21"/>
      <c r="H175" s="21"/>
    </row>
    <row r="176" spans="1:8">
      <c r="A176" s="20"/>
      <c r="B176" s="84" t="s">
        <v>685</v>
      </c>
      <c r="C176" s="85"/>
      <c r="D176" s="83">
        <v>1</v>
      </c>
      <c r="E176" s="21">
        <v>192372</v>
      </c>
      <c r="F176" s="21">
        <f t="shared" si="21"/>
        <v>192372</v>
      </c>
      <c r="G176" s="21">
        <f>F176</f>
        <v>192372</v>
      </c>
      <c r="H176" s="21">
        <f>G176</f>
        <v>192372</v>
      </c>
    </row>
    <row r="177" spans="1:8">
      <c r="A177" s="20"/>
      <c r="B177" s="90" t="s">
        <v>687</v>
      </c>
      <c r="C177" s="91"/>
      <c r="D177" s="83"/>
      <c r="E177" s="21"/>
      <c r="F177" s="21"/>
      <c r="G177" s="21"/>
      <c r="H177" s="21"/>
    </row>
    <row r="178" spans="1:8">
      <c r="A178" s="20"/>
      <c r="B178" s="84" t="s">
        <v>688</v>
      </c>
      <c r="C178" s="85"/>
      <c r="D178" s="83">
        <v>1</v>
      </c>
      <c r="E178" s="21">
        <v>29520</v>
      </c>
      <c r="F178" s="21">
        <f t="shared" si="21"/>
        <v>29520</v>
      </c>
      <c r="G178" s="21">
        <f>F178</f>
        <v>29520</v>
      </c>
      <c r="H178" s="21">
        <f>G178</f>
        <v>29520</v>
      </c>
    </row>
    <row r="179" spans="1:8">
      <c r="A179" s="20"/>
      <c r="B179" s="90" t="s">
        <v>689</v>
      </c>
      <c r="C179" s="91"/>
      <c r="D179" s="83"/>
      <c r="E179" s="21"/>
      <c r="F179" s="21"/>
      <c r="G179" s="21"/>
      <c r="H179" s="21"/>
    </row>
    <row r="180" spans="1:8">
      <c r="A180" s="20"/>
      <c r="B180" s="84" t="s">
        <v>688</v>
      </c>
      <c r="C180" s="85"/>
      <c r="D180" s="83">
        <v>1</v>
      </c>
      <c r="E180" s="21">
        <v>22632</v>
      </c>
      <c r="F180" s="21">
        <f t="shared" si="21"/>
        <v>22632</v>
      </c>
      <c r="G180" s="21">
        <f>F180</f>
        <v>22632</v>
      </c>
      <c r="H180" s="21">
        <f>G180</f>
        <v>22632</v>
      </c>
    </row>
    <row r="181" customHeight="1" spans="1:8">
      <c r="A181" s="20"/>
      <c r="B181" s="90" t="s">
        <v>690</v>
      </c>
      <c r="C181" s="92"/>
      <c r="D181" s="83"/>
      <c r="E181" s="21"/>
      <c r="F181" s="21"/>
      <c r="G181" s="21"/>
      <c r="H181" s="21"/>
    </row>
    <row r="182" spans="1:8">
      <c r="A182" s="20"/>
      <c r="B182" s="84" t="s">
        <v>691</v>
      </c>
      <c r="C182" s="85"/>
      <c r="D182" s="83">
        <v>1</v>
      </c>
      <c r="E182" s="21">
        <v>176763</v>
      </c>
      <c r="F182" s="21">
        <f>ROUND(E182*D182,0)</f>
        <v>176763</v>
      </c>
      <c r="G182" s="21">
        <f>F182</f>
        <v>176763</v>
      </c>
      <c r="H182" s="21">
        <f>G182</f>
        <v>176763</v>
      </c>
    </row>
    <row r="183" ht="26.25" customHeight="1" spans="1:8">
      <c r="A183" s="20"/>
      <c r="B183" s="80" t="s">
        <v>692</v>
      </c>
      <c r="C183" s="93"/>
      <c r="D183" s="83"/>
      <c r="E183" s="21"/>
      <c r="F183" s="21"/>
      <c r="G183" s="21"/>
      <c r="H183" s="21"/>
    </row>
    <row r="184" spans="1:8">
      <c r="A184" s="20"/>
      <c r="B184" s="84" t="s">
        <v>691</v>
      </c>
      <c r="C184" s="85"/>
      <c r="D184" s="57">
        <v>1</v>
      </c>
      <c r="E184" s="21">
        <v>1282201</v>
      </c>
      <c r="F184" s="21">
        <f>ROUND(E184*D184,0)</f>
        <v>1282201</v>
      </c>
      <c r="G184" s="21">
        <f>F184</f>
        <v>1282201</v>
      </c>
      <c r="H184" s="21">
        <f>G184</f>
        <v>1282201</v>
      </c>
    </row>
    <row r="185" hidden="1" spans="1:8">
      <c r="A185" s="20"/>
      <c r="B185" s="30"/>
      <c r="C185" s="32"/>
      <c r="D185" s="21"/>
      <c r="E185" s="21"/>
      <c r="F185" s="21">
        <f t="shared" si="20"/>
        <v>0</v>
      </c>
      <c r="G185" s="21"/>
      <c r="H185" s="21"/>
    </row>
    <row r="186" hidden="1" spans="1:8">
      <c r="A186" s="20"/>
      <c r="B186" s="30"/>
      <c r="C186" s="32"/>
      <c r="D186" s="21"/>
      <c r="E186" s="21"/>
      <c r="F186" s="21">
        <f t="shared" si="20"/>
        <v>0</v>
      </c>
      <c r="G186" s="21"/>
      <c r="H186" s="21"/>
    </row>
    <row r="187" hidden="1" spans="1:8">
      <c r="A187" s="20"/>
      <c r="B187" s="30"/>
      <c r="C187" s="32"/>
      <c r="D187" s="21"/>
      <c r="E187" s="21"/>
      <c r="F187" s="21">
        <f t="shared" si="20"/>
        <v>0</v>
      </c>
      <c r="G187" s="21"/>
      <c r="H187" s="21"/>
    </row>
    <row r="188" hidden="1" spans="1:8">
      <c r="A188" s="20"/>
      <c r="B188" s="30"/>
      <c r="C188" s="32"/>
      <c r="D188" s="21"/>
      <c r="E188" s="21"/>
      <c r="F188" s="21">
        <f t="shared" si="20"/>
        <v>0</v>
      </c>
      <c r="G188" s="21"/>
      <c r="H188" s="21"/>
    </row>
    <row r="189" hidden="1" spans="1:8">
      <c r="A189" s="20"/>
      <c r="B189" s="30"/>
      <c r="C189" s="32"/>
      <c r="D189" s="21"/>
      <c r="E189" s="21"/>
      <c r="F189" s="21">
        <f t="shared" si="20"/>
        <v>0</v>
      </c>
      <c r="G189" s="21"/>
      <c r="H189" s="21"/>
    </row>
    <row r="190" hidden="1" spans="1:8">
      <c r="A190" s="20"/>
      <c r="B190" s="30"/>
      <c r="C190" s="32"/>
      <c r="D190" s="21"/>
      <c r="E190" s="21"/>
      <c r="F190" s="21">
        <f t="shared" si="20"/>
        <v>0</v>
      </c>
      <c r="G190" s="21"/>
      <c r="H190" s="21"/>
    </row>
    <row r="191" hidden="1" spans="1:8">
      <c r="A191" s="20"/>
      <c r="B191" s="30"/>
      <c r="C191" s="32"/>
      <c r="D191" s="21"/>
      <c r="E191" s="21"/>
      <c r="F191" s="21">
        <f t="shared" si="20"/>
        <v>0</v>
      </c>
      <c r="G191" s="21"/>
      <c r="H191" s="21"/>
    </row>
    <row r="192" hidden="1" spans="1:8">
      <c r="A192" s="20"/>
      <c r="B192" s="30"/>
      <c r="C192" s="32"/>
      <c r="D192" s="21"/>
      <c r="E192" s="21"/>
      <c r="F192" s="21">
        <f t="shared" si="20"/>
        <v>0</v>
      </c>
      <c r="G192" s="21"/>
      <c r="H192" s="21"/>
    </row>
    <row r="193" hidden="1" spans="1:8">
      <c r="A193" s="20"/>
      <c r="B193" s="30"/>
      <c r="C193" s="32"/>
      <c r="D193" s="21"/>
      <c r="E193" s="21"/>
      <c r="F193" s="21">
        <f t="shared" si="20"/>
        <v>0</v>
      </c>
      <c r="G193" s="21"/>
      <c r="H193" s="21"/>
    </row>
    <row r="194" ht="30.75" customHeight="1" spans="1:8">
      <c r="A194" s="20"/>
      <c r="B194" s="80" t="s">
        <v>693</v>
      </c>
      <c r="C194" s="93"/>
      <c r="D194" s="21"/>
      <c r="E194" s="21"/>
      <c r="F194" s="21">
        <f t="shared" si="20"/>
        <v>0</v>
      </c>
      <c r="G194" s="21"/>
      <c r="H194" s="21"/>
    </row>
    <row r="195" s="4" customFormat="1" ht="14.25" spans="1:11">
      <c r="A195" s="23"/>
      <c r="B195" s="45" t="s">
        <v>387</v>
      </c>
      <c r="C195" s="46"/>
      <c r="D195" s="24">
        <f>D182+D184</f>
        <v>2</v>
      </c>
      <c r="E195" s="24"/>
      <c r="F195" s="24">
        <f>SUM(F168:F194)</f>
        <v>1918000</v>
      </c>
      <c r="G195" s="24">
        <f t="shared" ref="G195:H195" si="22">SUM(G168:G194)</f>
        <v>1918000</v>
      </c>
      <c r="H195" s="24">
        <f t="shared" si="22"/>
        <v>1918000</v>
      </c>
      <c r="I195" s="44"/>
      <c r="J195" s="44"/>
      <c r="K195" s="44"/>
    </row>
    <row r="197" s="5" customFormat="1" ht="14.25" hidden="1" spans="1:11">
      <c r="A197" s="5" t="s">
        <v>527</v>
      </c>
      <c r="B197" s="15"/>
      <c r="C197" s="15"/>
      <c r="D197" s="15"/>
      <c r="E197" s="15"/>
      <c r="F197" s="15"/>
      <c r="G197" s="15"/>
      <c r="H197" s="15"/>
      <c r="I197" s="15"/>
      <c r="J197" s="15"/>
      <c r="K197" s="15"/>
    </row>
    <row r="198" hidden="1"/>
    <row r="199" ht="24" hidden="1" spans="1:8">
      <c r="A199" s="25" t="s">
        <v>389</v>
      </c>
      <c r="B199" s="27" t="s">
        <v>416</v>
      </c>
      <c r="C199" s="29"/>
      <c r="D199" s="18" t="s">
        <v>462</v>
      </c>
      <c r="E199" s="18" t="s">
        <v>467</v>
      </c>
      <c r="F199" s="18" t="s">
        <v>410</v>
      </c>
      <c r="G199" s="18" t="s">
        <v>411</v>
      </c>
      <c r="H199" s="18" t="s">
        <v>412</v>
      </c>
    </row>
    <row r="200" hidden="1" spans="1:8">
      <c r="A200" s="19">
        <v>1</v>
      </c>
      <c r="B200" s="30">
        <v>2</v>
      </c>
      <c r="C200" s="32"/>
      <c r="D200" s="19">
        <v>3</v>
      </c>
      <c r="E200" s="19">
        <v>4</v>
      </c>
      <c r="F200" s="19">
        <v>5</v>
      </c>
      <c r="G200" s="19">
        <v>6</v>
      </c>
      <c r="H200" s="19">
        <v>7</v>
      </c>
    </row>
    <row r="201" hidden="1" spans="1:8">
      <c r="A201" s="20">
        <v>1</v>
      </c>
      <c r="B201" s="30"/>
      <c r="C201" s="32"/>
      <c r="D201" s="21"/>
      <c r="E201" s="21"/>
      <c r="F201" s="21">
        <f>D201*E201</f>
        <v>0</v>
      </c>
      <c r="G201" s="21"/>
      <c r="H201" s="21"/>
    </row>
    <row r="202" hidden="1" spans="1:8">
      <c r="A202" s="37"/>
      <c r="B202" s="86"/>
      <c r="C202" s="87"/>
      <c r="D202" s="87"/>
      <c r="E202" s="21"/>
      <c r="F202" s="21">
        <f t="shared" ref="F202:F222" si="23">D202*E202</f>
        <v>0</v>
      </c>
      <c r="G202" s="21"/>
      <c r="H202" s="21"/>
    </row>
    <row r="203" hidden="1" spans="1:8">
      <c r="A203" s="37"/>
      <c r="B203" s="88"/>
      <c r="C203" s="87"/>
      <c r="D203" s="87"/>
      <c r="E203" s="21"/>
      <c r="F203" s="21">
        <f t="shared" si="23"/>
        <v>0</v>
      </c>
      <c r="G203" s="21"/>
      <c r="H203" s="21"/>
    </row>
    <row r="204" hidden="1" spans="1:8">
      <c r="A204" s="37"/>
      <c r="B204" s="86"/>
      <c r="C204" s="87"/>
      <c r="D204" s="87"/>
      <c r="E204" s="21"/>
      <c r="F204" s="21">
        <f t="shared" si="23"/>
        <v>0</v>
      </c>
      <c r="G204" s="21"/>
      <c r="H204" s="21"/>
    </row>
    <row r="205" hidden="1" spans="1:8">
      <c r="A205" s="37"/>
      <c r="B205" s="86"/>
      <c r="C205" s="87"/>
      <c r="D205" s="87"/>
      <c r="E205" s="21"/>
      <c r="F205" s="21">
        <f t="shared" si="23"/>
        <v>0</v>
      </c>
      <c r="G205" s="21"/>
      <c r="H205" s="21"/>
    </row>
    <row r="206" hidden="1" spans="1:8">
      <c r="A206" s="37"/>
      <c r="B206" s="86"/>
      <c r="C206" s="87"/>
      <c r="D206" s="87"/>
      <c r="E206" s="21"/>
      <c r="F206" s="21">
        <f t="shared" si="23"/>
        <v>0</v>
      </c>
      <c r="G206" s="21"/>
      <c r="H206" s="21"/>
    </row>
    <row r="207" hidden="1" spans="1:8">
      <c r="A207" s="37"/>
      <c r="B207" s="30"/>
      <c r="C207" s="32"/>
      <c r="D207" s="57"/>
      <c r="E207" s="21"/>
      <c r="F207" s="21">
        <f t="shared" si="23"/>
        <v>0</v>
      </c>
      <c r="G207" s="21"/>
      <c r="H207" s="21"/>
    </row>
    <row r="208" hidden="1" spans="1:8">
      <c r="A208" s="37"/>
      <c r="B208" s="30"/>
      <c r="C208" s="32"/>
      <c r="D208" s="21"/>
      <c r="E208" s="21"/>
      <c r="F208" s="21">
        <f t="shared" si="23"/>
        <v>0</v>
      </c>
      <c r="G208" s="21"/>
      <c r="H208" s="21"/>
    </row>
    <row r="209" hidden="1" spans="1:8">
      <c r="A209" s="37"/>
      <c r="B209" s="30"/>
      <c r="C209" s="32"/>
      <c r="D209" s="21"/>
      <c r="E209" s="21"/>
      <c r="F209" s="21">
        <f t="shared" si="23"/>
        <v>0</v>
      </c>
      <c r="G209" s="21"/>
      <c r="H209" s="21"/>
    </row>
    <row r="210" hidden="1" spans="1:8">
      <c r="A210" s="37"/>
      <c r="B210" s="30"/>
      <c r="C210" s="32"/>
      <c r="D210" s="21"/>
      <c r="E210" s="21"/>
      <c r="F210" s="21">
        <f t="shared" si="23"/>
        <v>0</v>
      </c>
      <c r="G210" s="21"/>
      <c r="H210" s="21"/>
    </row>
    <row r="211" hidden="1" spans="1:8">
      <c r="A211" s="37"/>
      <c r="B211" s="30"/>
      <c r="C211" s="32"/>
      <c r="D211" s="21"/>
      <c r="E211" s="21"/>
      <c r="F211" s="21">
        <f t="shared" si="23"/>
        <v>0</v>
      </c>
      <c r="G211" s="21"/>
      <c r="H211" s="21"/>
    </row>
    <row r="212" hidden="1" spans="1:8">
      <c r="A212" s="37"/>
      <c r="B212" s="30"/>
      <c r="C212" s="32"/>
      <c r="D212" s="21"/>
      <c r="E212" s="21"/>
      <c r="F212" s="21">
        <f t="shared" si="23"/>
        <v>0</v>
      </c>
      <c r="G212" s="21"/>
      <c r="H212" s="21"/>
    </row>
    <row r="213" hidden="1" spans="1:8">
      <c r="A213" s="37"/>
      <c r="B213" s="30"/>
      <c r="C213" s="32"/>
      <c r="D213" s="21"/>
      <c r="E213" s="21"/>
      <c r="F213" s="21">
        <f t="shared" si="23"/>
        <v>0</v>
      </c>
      <c r="G213" s="21"/>
      <c r="H213" s="21"/>
    </row>
    <row r="214" hidden="1" spans="1:8">
      <c r="A214" s="37"/>
      <c r="B214" s="30"/>
      <c r="C214" s="32"/>
      <c r="D214" s="21"/>
      <c r="E214" s="21"/>
      <c r="F214" s="21">
        <f t="shared" si="23"/>
        <v>0</v>
      </c>
      <c r="G214" s="21"/>
      <c r="H214" s="21"/>
    </row>
    <row r="215" hidden="1" spans="1:8">
      <c r="A215" s="37"/>
      <c r="B215" s="30"/>
      <c r="C215" s="32"/>
      <c r="D215" s="21"/>
      <c r="E215" s="21"/>
      <c r="F215" s="21">
        <f t="shared" si="23"/>
        <v>0</v>
      </c>
      <c r="G215" s="21"/>
      <c r="H215" s="21"/>
    </row>
    <row r="216" hidden="1" spans="1:8">
      <c r="A216" s="37"/>
      <c r="B216" s="30"/>
      <c r="C216" s="32"/>
      <c r="D216" s="21"/>
      <c r="E216" s="21"/>
      <c r="F216" s="21">
        <f t="shared" si="23"/>
        <v>0</v>
      </c>
      <c r="G216" s="21"/>
      <c r="H216" s="21"/>
    </row>
    <row r="217" hidden="1" spans="1:8">
      <c r="A217" s="37"/>
      <c r="B217" s="30"/>
      <c r="C217" s="32"/>
      <c r="D217" s="21"/>
      <c r="E217" s="21"/>
      <c r="F217" s="21">
        <f t="shared" si="23"/>
        <v>0</v>
      </c>
      <c r="G217" s="21"/>
      <c r="H217" s="21"/>
    </row>
    <row r="218" hidden="1" spans="1:8">
      <c r="A218" s="37"/>
      <c r="B218" s="30"/>
      <c r="C218" s="32"/>
      <c r="D218" s="21"/>
      <c r="E218" s="21"/>
      <c r="F218" s="21">
        <f t="shared" si="23"/>
        <v>0</v>
      </c>
      <c r="G218" s="21"/>
      <c r="H218" s="21"/>
    </row>
    <row r="219" hidden="1" spans="1:8">
      <c r="A219" s="20"/>
      <c r="B219" s="30"/>
      <c r="C219" s="32"/>
      <c r="D219" s="21"/>
      <c r="E219" s="21"/>
      <c r="F219" s="21">
        <f t="shared" si="23"/>
        <v>0</v>
      </c>
      <c r="G219" s="21"/>
      <c r="H219" s="21"/>
    </row>
    <row r="220" hidden="1" spans="1:8">
      <c r="A220" s="20"/>
      <c r="B220" s="30"/>
      <c r="C220" s="32"/>
      <c r="D220" s="21"/>
      <c r="E220" s="21"/>
      <c r="F220" s="21">
        <f t="shared" si="23"/>
        <v>0</v>
      </c>
      <c r="G220" s="21"/>
      <c r="H220" s="21"/>
    </row>
    <row r="221" hidden="1" spans="1:8">
      <c r="A221" s="20"/>
      <c r="B221" s="30"/>
      <c r="C221" s="32"/>
      <c r="D221" s="21"/>
      <c r="E221" s="21"/>
      <c r="F221" s="21">
        <f t="shared" si="23"/>
        <v>0</v>
      </c>
      <c r="G221" s="21"/>
      <c r="H221" s="21"/>
    </row>
    <row r="222" hidden="1" spans="1:8">
      <c r="A222" s="20"/>
      <c r="B222" s="30"/>
      <c r="C222" s="32"/>
      <c r="D222" s="21"/>
      <c r="E222" s="21"/>
      <c r="F222" s="21">
        <f t="shared" si="23"/>
        <v>0</v>
      </c>
      <c r="G222" s="21"/>
      <c r="H222" s="21"/>
    </row>
    <row r="223" s="4" customFormat="1" ht="14.25" hidden="1" spans="1:11">
      <c r="A223" s="23"/>
      <c r="B223" s="45" t="s">
        <v>387</v>
      </c>
      <c r="C223" s="46"/>
      <c r="D223" s="24"/>
      <c r="E223" s="24"/>
      <c r="F223" s="24">
        <f>SUM(F201:F222)</f>
        <v>0</v>
      </c>
      <c r="G223" s="24">
        <f t="shared" ref="G223:H223" si="24">SUM(G201:G222)</f>
        <v>0</v>
      </c>
      <c r="H223" s="24">
        <f t="shared" si="24"/>
        <v>0</v>
      </c>
      <c r="I223" s="44"/>
      <c r="J223" s="44"/>
      <c r="K223" s="44"/>
    </row>
    <row r="224" ht="15.75"/>
    <row r="225" ht="15.75" spans="1:8">
      <c r="A225" s="65"/>
      <c r="B225" s="66" t="s">
        <v>554</v>
      </c>
      <c r="C225" s="67"/>
      <c r="D225" s="67"/>
      <c r="E225" s="68"/>
      <c r="F225" s="69">
        <f>F223+F195+F162+F138+G126+F114+G102+F89+F77+F65+F53+F40+I28</f>
        <v>1918000</v>
      </c>
      <c r="G225" s="69">
        <f>G223+G195+G162+G138+H126+G114+H102+G89+G77+G65+G53+G40+J28</f>
        <v>1918000</v>
      </c>
      <c r="H225" s="69">
        <f>H223+H195+H162+H138+I126+H114+I102+H89+H77+H65+H53+H40+K28</f>
        <v>1918000</v>
      </c>
    </row>
    <row r="228" s="6" customFormat="1" ht="20.25" customHeight="1" spans="1:21">
      <c r="A228" s="6" t="s">
        <v>267</v>
      </c>
      <c r="D228" s="70" t="str">
        <f>закупки!AQ30</f>
        <v>Заведующий</v>
      </c>
      <c r="E228" s="71"/>
      <c r="F228" s="70"/>
      <c r="G228" s="71"/>
      <c r="H228" s="70" t="str">
        <f>закупки!BY30</f>
        <v>Измайлова Н.В.</v>
      </c>
      <c r="I228" s="70"/>
      <c r="J228" s="71"/>
      <c r="K228" s="71"/>
      <c r="L228" s="71"/>
      <c r="M228" s="71"/>
      <c r="N228" s="71"/>
      <c r="O228" s="71"/>
      <c r="P228" s="71"/>
      <c r="Q228" s="71"/>
      <c r="R228" s="71"/>
      <c r="S228" s="71"/>
      <c r="T228" s="71"/>
      <c r="U228" s="77"/>
    </row>
    <row r="229" s="6" customFormat="1" ht="20.25" customHeight="1" spans="1:21">
      <c r="A229" s="6" t="s">
        <v>268</v>
      </c>
      <c r="D229" s="72" t="s">
        <v>555</v>
      </c>
      <c r="E229" s="73"/>
      <c r="F229" s="72" t="s">
        <v>556</v>
      </c>
      <c r="G229" s="73"/>
      <c r="H229" s="74" t="s">
        <v>557</v>
      </c>
      <c r="I229" s="74"/>
      <c r="J229" s="73"/>
      <c r="K229" s="73"/>
      <c r="L229" s="73"/>
      <c r="M229" s="73"/>
      <c r="N229" s="73"/>
      <c r="O229" s="73"/>
      <c r="P229" s="73"/>
      <c r="Q229" s="73"/>
      <c r="R229" s="73"/>
      <c r="S229" s="73"/>
      <c r="T229" s="73"/>
      <c r="U229" s="77"/>
    </row>
    <row r="230" s="6" customFormat="1" spans="1:1">
      <c r="A230" s="75"/>
    </row>
    <row r="231" s="6" customFormat="1" spans="1:8">
      <c r="A231" s="75" t="s">
        <v>271</v>
      </c>
      <c r="B231" s="75"/>
      <c r="C231" s="70" t="str">
        <f>закупки!AM33</f>
        <v>Гл.бухгалтер</v>
      </c>
      <c r="D231" s="71"/>
      <c r="E231" s="70" t="str">
        <f>закупки!BG33</f>
        <v>Родионова Н.А.</v>
      </c>
      <c r="F231" s="71"/>
      <c r="G231" s="76" t="str">
        <f>закупки!CA33</f>
        <v>31-55-99</v>
      </c>
      <c r="H231" s="70"/>
    </row>
    <row r="232" s="6" customFormat="1" spans="3:8">
      <c r="C232" s="72" t="s">
        <v>558</v>
      </c>
      <c r="D232" s="73"/>
      <c r="E232" s="74" t="s">
        <v>275</v>
      </c>
      <c r="F232" s="73"/>
      <c r="G232" s="74" t="s">
        <v>276</v>
      </c>
      <c r="H232" s="74"/>
    </row>
    <row r="233" s="6" customFormat="1"/>
    <row r="234" s="6" customFormat="1"/>
    <row r="235" s="6" customFormat="1"/>
    <row r="236" s="6" customFormat="1"/>
    <row r="237" s="6" customFormat="1" customHeight="1" spans="1:5">
      <c r="A237" s="75" t="s">
        <v>559</v>
      </c>
      <c r="B237" s="75"/>
      <c r="C237" s="75"/>
      <c r="D237" s="75"/>
      <c r="E237" s="75"/>
    </row>
  </sheetData>
  <mergeCells count="134">
    <mergeCell ref="J1:K1"/>
    <mergeCell ref="I2:K2"/>
    <mergeCell ref="A3:K3"/>
    <mergeCell ref="A6:K6"/>
    <mergeCell ref="A8:B8"/>
    <mergeCell ref="A10:C10"/>
    <mergeCell ref="D15:G15"/>
    <mergeCell ref="A42:H42"/>
    <mergeCell ref="B44:D44"/>
    <mergeCell ref="B45:D45"/>
    <mergeCell ref="B46:D46"/>
    <mergeCell ref="B47:D47"/>
    <mergeCell ref="B48:D48"/>
    <mergeCell ref="B49:D49"/>
    <mergeCell ref="B50:D50"/>
    <mergeCell ref="B51:D51"/>
    <mergeCell ref="B52:D52"/>
    <mergeCell ref="B53:D53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A79:H79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4:C94"/>
    <mergeCell ref="B95:C95"/>
    <mergeCell ref="B96:C96"/>
    <mergeCell ref="B97:C97"/>
    <mergeCell ref="B100:C100"/>
    <mergeCell ref="B101:C101"/>
    <mergeCell ref="B102:C102"/>
    <mergeCell ref="B106:C106"/>
    <mergeCell ref="B107:C107"/>
    <mergeCell ref="B108:C108"/>
    <mergeCell ref="B109:C109"/>
    <mergeCell ref="B110:C110"/>
    <mergeCell ref="B111:C111"/>
    <mergeCell ref="B112:C112"/>
    <mergeCell ref="B113:C113"/>
    <mergeCell ref="B114:C114"/>
    <mergeCell ref="B118:C118"/>
    <mergeCell ref="B119:C119"/>
    <mergeCell ref="B120:C120"/>
    <mergeCell ref="B121:C121"/>
    <mergeCell ref="B122:C122"/>
    <mergeCell ref="B123:C123"/>
    <mergeCell ref="B124:C124"/>
    <mergeCell ref="B125:C125"/>
    <mergeCell ref="B126:C126"/>
    <mergeCell ref="B130:C130"/>
    <mergeCell ref="B131:C131"/>
    <mergeCell ref="B132:C132"/>
    <mergeCell ref="B133:C133"/>
    <mergeCell ref="B134:C134"/>
    <mergeCell ref="B135:C135"/>
    <mergeCell ref="B136:C136"/>
    <mergeCell ref="B137:C137"/>
    <mergeCell ref="B138:C138"/>
    <mergeCell ref="B142:C142"/>
    <mergeCell ref="B143:C143"/>
    <mergeCell ref="B144:C144"/>
    <mergeCell ref="B145:C145"/>
    <mergeCell ref="B158:C158"/>
    <mergeCell ref="B159:C159"/>
    <mergeCell ref="B160:C160"/>
    <mergeCell ref="B161:C161"/>
    <mergeCell ref="B162:C162"/>
    <mergeCell ref="B166:C166"/>
    <mergeCell ref="B167:C167"/>
    <mergeCell ref="B168:C168"/>
    <mergeCell ref="B169:C169"/>
    <mergeCell ref="B170:C170"/>
    <mergeCell ref="B171:C171"/>
    <mergeCell ref="B172:C172"/>
    <mergeCell ref="B173:C173"/>
    <mergeCell ref="B174:C174"/>
    <mergeCell ref="B175:C175"/>
    <mergeCell ref="B176:C176"/>
    <mergeCell ref="B177:C177"/>
    <mergeCell ref="B178:C178"/>
    <mergeCell ref="B179:C179"/>
    <mergeCell ref="B180:C180"/>
    <mergeCell ref="B181:C181"/>
    <mergeCell ref="B182:C182"/>
    <mergeCell ref="B183:C183"/>
    <mergeCell ref="B184:C184"/>
    <mergeCell ref="B192:C192"/>
    <mergeCell ref="B193:C193"/>
    <mergeCell ref="B194:C194"/>
    <mergeCell ref="B195:C195"/>
    <mergeCell ref="B199:C199"/>
    <mergeCell ref="B200:C200"/>
    <mergeCell ref="B201:C201"/>
    <mergeCell ref="B219:C219"/>
    <mergeCell ref="B220:C220"/>
    <mergeCell ref="B221:C221"/>
    <mergeCell ref="B222:C222"/>
    <mergeCell ref="B223:C223"/>
    <mergeCell ref="B225:E225"/>
    <mergeCell ref="A228:C228"/>
    <mergeCell ref="A229:C229"/>
    <mergeCell ref="A231:B231"/>
    <mergeCell ref="G232:H232"/>
    <mergeCell ref="A237:E237"/>
    <mergeCell ref="A15:A17"/>
    <mergeCell ref="B15:B17"/>
    <mergeCell ref="C15:C17"/>
    <mergeCell ref="D16:D17"/>
    <mergeCell ref="H15:H17"/>
    <mergeCell ref="I15:I17"/>
    <mergeCell ref="J15:J17"/>
    <mergeCell ref="K15:K17"/>
  </mergeCells>
  <pageMargins left="0.36875" right="0.215104166666667" top="0.75" bottom="0.75" header="0.3" footer="0.3"/>
  <pageSetup paperSize="9" scale="62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239"/>
  <sheetViews>
    <sheetView topLeftCell="A142" workbookViewId="0">
      <selection activeCell="J149" sqref="J149"/>
    </sheetView>
  </sheetViews>
  <sheetFormatPr defaultColWidth="9.14285714285714" defaultRowHeight="15"/>
  <cols>
    <col min="1" max="1" width="8.85714285714286" style="7" customWidth="1"/>
    <col min="2" max="2" width="17.7142857142857" style="8" customWidth="1"/>
    <col min="3" max="3" width="14.2857142857143" style="8" customWidth="1"/>
    <col min="4" max="5" width="14" style="8" customWidth="1"/>
    <col min="6" max="6" width="16" style="8" customWidth="1"/>
    <col min="7" max="7" width="13" style="8" customWidth="1"/>
    <col min="8" max="8" width="13.7142857142857" style="8" customWidth="1"/>
    <col min="9" max="9" width="15.2857142857143" style="8" customWidth="1"/>
    <col min="10" max="10" width="14.5714285714286" style="8" customWidth="1"/>
    <col min="11" max="11" width="14.1428571428571" style="8" customWidth="1"/>
    <col min="12" max="12" width="17.7142857142857" style="7" customWidth="1"/>
    <col min="13" max="16384" width="9.14285714285714" style="7"/>
  </cols>
  <sheetData>
    <row r="1" hidden="1" spans="7:9">
      <c r="G1" s="6"/>
      <c r="H1" s="40" t="s">
        <v>362</v>
      </c>
      <c r="I1" s="40"/>
    </row>
    <row r="2" hidden="1" customHeight="1" spans="5:9">
      <c r="E2" s="41" t="s">
        <v>285</v>
      </c>
      <c r="F2" s="41"/>
      <c r="G2" s="41"/>
      <c r="H2" s="41"/>
      <c r="I2" s="41"/>
    </row>
    <row r="3" ht="15.75" spans="1:11">
      <c r="A3" s="89" t="s">
        <v>694</v>
      </c>
      <c r="B3" s="89"/>
      <c r="C3" s="89"/>
      <c r="D3" s="89"/>
      <c r="E3" s="89"/>
      <c r="F3" s="89"/>
      <c r="G3" s="89"/>
      <c r="H3" s="89"/>
      <c r="I3" s="89"/>
      <c r="J3" s="89"/>
      <c r="K3" s="89"/>
    </row>
    <row r="4" spans="1:1">
      <c r="A4" s="5" t="s">
        <v>695</v>
      </c>
    </row>
    <row r="6" spans="1:11">
      <c r="A6" s="10" t="s">
        <v>364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8" spans="1:3">
      <c r="A8" s="11" t="s">
        <v>365</v>
      </c>
      <c r="B8" s="11"/>
      <c r="C8" s="12">
        <v>1212121150</v>
      </c>
    </row>
    <row r="10" spans="1:4">
      <c r="A10" s="11" t="s">
        <v>366</v>
      </c>
      <c r="B10" s="11"/>
      <c r="C10" s="11"/>
      <c r="D10" s="13" t="s">
        <v>367</v>
      </c>
    </row>
    <row r="11" spans="1:3">
      <c r="A11" s="11"/>
      <c r="B11" s="11"/>
      <c r="C11" s="11"/>
    </row>
    <row r="12" hidden="1" spans="1:4">
      <c r="A12" s="14" t="s">
        <v>368</v>
      </c>
      <c r="B12" s="15"/>
      <c r="C12" s="15"/>
      <c r="D12" s="15"/>
    </row>
    <row r="13" hidden="1" spans="1:4">
      <c r="A13" s="14" t="s">
        <v>369</v>
      </c>
      <c r="B13" s="15"/>
      <c r="C13" s="15"/>
      <c r="D13" s="15"/>
    </row>
    <row r="14" hidden="1"/>
    <row r="15" s="1" customFormat="1" ht="12" hidden="1" spans="1:11">
      <c r="A15" s="16"/>
      <c r="B15" s="17" t="s">
        <v>370</v>
      </c>
      <c r="C15" s="17" t="s">
        <v>371</v>
      </c>
      <c r="D15" s="17" t="s">
        <v>372</v>
      </c>
      <c r="E15" s="17"/>
      <c r="F15" s="17"/>
      <c r="G15" s="17"/>
      <c r="H15" s="17" t="s">
        <v>373</v>
      </c>
      <c r="I15" s="17" t="s">
        <v>374</v>
      </c>
      <c r="J15" s="17" t="s">
        <v>375</v>
      </c>
      <c r="K15" s="17" t="s">
        <v>376</v>
      </c>
    </row>
    <row r="16" s="1" customFormat="1" ht="12" hidden="1" spans="1:11">
      <c r="A16" s="16"/>
      <c r="B16" s="17"/>
      <c r="C16" s="17"/>
      <c r="D16" s="16" t="s">
        <v>377</v>
      </c>
      <c r="E16" s="16" t="s">
        <v>54</v>
      </c>
      <c r="F16" s="16"/>
      <c r="G16" s="16"/>
      <c r="H16" s="17"/>
      <c r="I16" s="17"/>
      <c r="J16" s="17"/>
      <c r="K16" s="17"/>
    </row>
    <row r="17" s="2" customFormat="1" ht="36" hidden="1" spans="1:11">
      <c r="A17" s="16"/>
      <c r="B17" s="17"/>
      <c r="C17" s="17"/>
      <c r="D17" s="16"/>
      <c r="E17" s="18" t="s">
        <v>378</v>
      </c>
      <c r="F17" s="18" t="s">
        <v>379</v>
      </c>
      <c r="G17" s="18" t="s">
        <v>380</v>
      </c>
      <c r="H17" s="17"/>
      <c r="I17" s="17"/>
      <c r="J17" s="17"/>
      <c r="K17" s="17"/>
    </row>
    <row r="18" s="3" customFormat="1" hidden="1" spans="1:11">
      <c r="A18" s="19">
        <v>1</v>
      </c>
      <c r="B18" s="19">
        <v>2</v>
      </c>
      <c r="C18" s="19">
        <v>3</v>
      </c>
      <c r="D18" s="19">
        <v>4</v>
      </c>
      <c r="E18" s="19">
        <v>5</v>
      </c>
      <c r="F18" s="19">
        <v>6</v>
      </c>
      <c r="G18" s="19">
        <v>7</v>
      </c>
      <c r="H18" s="19">
        <v>8</v>
      </c>
      <c r="I18" s="19">
        <v>9</v>
      </c>
      <c r="J18" s="19">
        <v>10</v>
      </c>
      <c r="K18" s="19">
        <v>11</v>
      </c>
    </row>
    <row r="19" s="3" customFormat="1" hidden="1" spans="1:11">
      <c r="A19" s="19"/>
      <c r="B19" s="19" t="s">
        <v>381</v>
      </c>
      <c r="C19" s="19"/>
      <c r="D19" s="19"/>
      <c r="E19" s="19"/>
      <c r="F19" s="19"/>
      <c r="G19" s="19"/>
      <c r="H19" s="19"/>
      <c r="I19" s="19"/>
      <c r="J19" s="19"/>
      <c r="K19" s="19"/>
    </row>
    <row r="20" ht="24" hidden="1" spans="1:11">
      <c r="A20" s="20">
        <v>1</v>
      </c>
      <c r="B20" s="18" t="s">
        <v>382</v>
      </c>
      <c r="C20" s="21"/>
      <c r="D20" s="21">
        <f>E20+F20+G20</f>
        <v>0</v>
      </c>
      <c r="E20" s="21"/>
      <c r="F20" s="21"/>
      <c r="G20" s="21"/>
      <c r="H20" s="21"/>
      <c r="I20" s="21">
        <f>C20*D20+H20</f>
        <v>0</v>
      </c>
      <c r="J20" s="21"/>
      <c r="K20" s="21"/>
    </row>
    <row r="21" hidden="1" spans="1:11">
      <c r="A21" s="20">
        <v>2</v>
      </c>
      <c r="B21" s="18" t="s">
        <v>383</v>
      </c>
      <c r="C21" s="21"/>
      <c r="D21" s="21">
        <f t="shared" ref="D21:D23" si="0">E21+F21+G21</f>
        <v>0</v>
      </c>
      <c r="E21" s="21"/>
      <c r="F21" s="21"/>
      <c r="G21" s="21"/>
      <c r="H21" s="21"/>
      <c r="I21" s="21">
        <f t="shared" ref="I21:I23" si="1">C21*D21+H21</f>
        <v>0</v>
      </c>
      <c r="J21" s="21"/>
      <c r="K21" s="21"/>
    </row>
    <row r="22" hidden="1" spans="1:11">
      <c r="A22" s="20">
        <v>3</v>
      </c>
      <c r="B22" s="18" t="s">
        <v>384</v>
      </c>
      <c r="C22" s="21"/>
      <c r="D22" s="21">
        <f t="shared" si="0"/>
        <v>0</v>
      </c>
      <c r="E22" s="21"/>
      <c r="F22" s="21"/>
      <c r="G22" s="21"/>
      <c r="H22" s="21"/>
      <c r="I22" s="36">
        <f>ROUND((C22*D22+H22)*7,0)</f>
        <v>0</v>
      </c>
      <c r="J22" s="36"/>
      <c r="K22" s="42"/>
    </row>
    <row r="23" hidden="1" spans="1:11">
      <c r="A23" s="19"/>
      <c r="B23" s="19"/>
      <c r="C23" s="19"/>
      <c r="D23" s="21">
        <f t="shared" si="0"/>
        <v>0</v>
      </c>
      <c r="E23" s="21"/>
      <c r="F23" s="21"/>
      <c r="G23" s="21"/>
      <c r="H23" s="21"/>
      <c r="I23" s="36">
        <f t="shared" si="1"/>
        <v>0</v>
      </c>
      <c r="J23" s="36"/>
      <c r="K23" s="36"/>
    </row>
    <row r="24" s="3" customFormat="1" hidden="1" spans="1:11">
      <c r="A24" s="19"/>
      <c r="B24" s="19" t="s">
        <v>572</v>
      </c>
      <c r="C24" s="19"/>
      <c r="D24" s="19"/>
      <c r="E24" s="19"/>
      <c r="F24" s="19"/>
      <c r="G24" s="19"/>
      <c r="H24" s="19"/>
      <c r="I24" s="19"/>
      <c r="J24" s="19"/>
      <c r="K24" s="19"/>
    </row>
    <row r="25" ht="24" hidden="1" spans="1:11">
      <c r="A25" s="20">
        <v>1</v>
      </c>
      <c r="B25" s="18" t="s">
        <v>382</v>
      </c>
      <c r="C25" s="21"/>
      <c r="D25" s="21">
        <f>E25+F25+G25</f>
        <v>0</v>
      </c>
      <c r="E25" s="21"/>
      <c r="F25" s="21"/>
      <c r="G25" s="21"/>
      <c r="H25" s="21"/>
      <c r="I25" s="21">
        <f>C25*D25+H25</f>
        <v>0</v>
      </c>
      <c r="J25" s="21"/>
      <c r="K25" s="21"/>
    </row>
    <row r="26" hidden="1" spans="1:11">
      <c r="A26" s="20">
        <v>2</v>
      </c>
      <c r="B26" s="18" t="s">
        <v>383</v>
      </c>
      <c r="C26" s="21"/>
      <c r="D26" s="21">
        <f t="shared" ref="D26:D27" si="2">E26+F26+G26</f>
        <v>0</v>
      </c>
      <c r="E26" s="21"/>
      <c r="F26" s="21"/>
      <c r="G26" s="21"/>
      <c r="H26" s="21"/>
      <c r="I26" s="21">
        <f t="shared" ref="I26" si="3">C26*D26+H26</f>
        <v>0</v>
      </c>
      <c r="J26" s="21"/>
      <c r="K26" s="21"/>
    </row>
    <row r="27" hidden="1" spans="1:11">
      <c r="A27" s="20">
        <v>3</v>
      </c>
      <c r="B27" s="18" t="s">
        <v>384</v>
      </c>
      <c r="C27" s="21"/>
      <c r="D27" s="21">
        <f t="shared" si="2"/>
        <v>0</v>
      </c>
      <c r="E27" s="21"/>
      <c r="F27" s="21"/>
      <c r="G27" s="21"/>
      <c r="H27" s="21"/>
      <c r="I27" s="36">
        <f>ROUND((C27*D27+H27)*1,0)</f>
        <v>0</v>
      </c>
      <c r="J27" s="36"/>
      <c r="K27" s="42"/>
    </row>
    <row r="28" s="4" customFormat="1" ht="14.25" hidden="1" spans="1:11">
      <c r="A28" s="23" t="s">
        <v>387</v>
      </c>
      <c r="B28" s="24"/>
      <c r="C28" s="24"/>
      <c r="D28" s="24"/>
      <c r="E28" s="24"/>
      <c r="F28" s="24"/>
      <c r="G28" s="24"/>
      <c r="H28" s="24"/>
      <c r="I28" s="39">
        <f>SUM(I20:I27)</f>
        <v>0</v>
      </c>
      <c r="J28" s="39">
        <f>SUM(J20:J27)</f>
        <v>0</v>
      </c>
      <c r="K28" s="39">
        <f>SUM(K20:K27)</f>
        <v>0</v>
      </c>
    </row>
    <row r="29" hidden="1"/>
    <row r="30" s="5" customFormat="1" ht="14.25" hidden="1" spans="1:11">
      <c r="A30" s="5" t="s">
        <v>388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</row>
    <row r="31" hidden="1"/>
    <row r="32" s="1" customFormat="1" ht="48" hidden="1" spans="1:11">
      <c r="A32" s="25" t="s">
        <v>389</v>
      </c>
      <c r="B32" s="18" t="s">
        <v>390</v>
      </c>
      <c r="C32" s="18" t="s">
        <v>391</v>
      </c>
      <c r="D32" s="18" t="s">
        <v>392</v>
      </c>
      <c r="E32" s="18" t="s">
        <v>393</v>
      </c>
      <c r="F32" s="18" t="s">
        <v>394</v>
      </c>
      <c r="G32" s="18" t="s">
        <v>394</v>
      </c>
      <c r="H32" s="18" t="s">
        <v>394</v>
      </c>
      <c r="I32" s="43"/>
      <c r="J32" s="43"/>
      <c r="K32" s="43"/>
    </row>
    <row r="33" s="3" customFormat="1" hidden="1" spans="1:8">
      <c r="A33" s="19">
        <v>1</v>
      </c>
      <c r="B33" s="19">
        <v>2</v>
      </c>
      <c r="C33" s="19">
        <v>3</v>
      </c>
      <c r="D33" s="19">
        <v>4</v>
      </c>
      <c r="E33" s="19">
        <v>5</v>
      </c>
      <c r="F33" s="19">
        <v>6</v>
      </c>
      <c r="G33" s="19">
        <v>7</v>
      </c>
      <c r="H33" s="19">
        <v>8</v>
      </c>
    </row>
    <row r="34" hidden="1" spans="1:8">
      <c r="A34" s="20"/>
      <c r="B34" s="21"/>
      <c r="C34" s="21"/>
      <c r="D34" s="21"/>
      <c r="E34" s="21"/>
      <c r="F34" s="21"/>
      <c r="G34" s="21"/>
      <c r="H34" s="21"/>
    </row>
    <row r="35" hidden="1" spans="1:8">
      <c r="A35" s="20"/>
      <c r="B35" s="21"/>
      <c r="C35" s="21"/>
      <c r="D35" s="21"/>
      <c r="E35" s="21"/>
      <c r="F35" s="21"/>
      <c r="G35" s="21"/>
      <c r="H35" s="21"/>
    </row>
    <row r="36" hidden="1" spans="1:8">
      <c r="A36" s="20"/>
      <c r="B36" s="21"/>
      <c r="C36" s="21"/>
      <c r="D36" s="21"/>
      <c r="E36" s="21"/>
      <c r="F36" s="21"/>
      <c r="G36" s="21"/>
      <c r="H36" s="21"/>
    </row>
    <row r="37" hidden="1" spans="1:8">
      <c r="A37" s="20"/>
      <c r="B37" s="21"/>
      <c r="C37" s="21"/>
      <c r="D37" s="21"/>
      <c r="E37" s="21"/>
      <c r="F37" s="21"/>
      <c r="G37" s="21"/>
      <c r="H37" s="21"/>
    </row>
    <row r="38" hidden="1" spans="1:8">
      <c r="A38" s="20"/>
      <c r="B38" s="21"/>
      <c r="C38" s="21"/>
      <c r="D38" s="21"/>
      <c r="E38" s="21"/>
      <c r="F38" s="21"/>
      <c r="G38" s="21"/>
      <c r="H38" s="21"/>
    </row>
    <row r="39" hidden="1" spans="1:8">
      <c r="A39" s="20"/>
      <c r="B39" s="21"/>
      <c r="C39" s="21"/>
      <c r="D39" s="21"/>
      <c r="E39" s="21"/>
      <c r="F39" s="21"/>
      <c r="G39" s="21"/>
      <c r="H39" s="21"/>
    </row>
    <row r="40" hidden="1" spans="1:8">
      <c r="A40" s="20"/>
      <c r="B40" s="21"/>
      <c r="C40" s="21"/>
      <c r="D40" s="21"/>
      <c r="E40" s="21"/>
      <c r="F40" s="21"/>
      <c r="G40" s="21"/>
      <c r="H40" s="21"/>
    </row>
    <row r="41" hidden="1"/>
    <row r="42" hidden="1" spans="1:8">
      <c r="A42" s="26" t="s">
        <v>395</v>
      </c>
      <c r="B42" s="26"/>
      <c r="C42" s="26"/>
      <c r="D42" s="26"/>
      <c r="E42" s="26"/>
      <c r="F42" s="26"/>
      <c r="G42" s="26"/>
      <c r="H42" s="26"/>
    </row>
    <row r="43" hidden="1"/>
    <row r="44" ht="48" hidden="1" spans="1:8">
      <c r="A44" s="25" t="s">
        <v>389</v>
      </c>
      <c r="B44" s="27" t="s">
        <v>396</v>
      </c>
      <c r="C44" s="28"/>
      <c r="D44" s="29"/>
      <c r="E44" s="18" t="s">
        <v>397</v>
      </c>
      <c r="F44" s="18" t="s">
        <v>398</v>
      </c>
      <c r="G44" s="18" t="s">
        <v>399</v>
      </c>
      <c r="H44" s="18" t="s">
        <v>400</v>
      </c>
    </row>
    <row r="45" hidden="1" spans="1:8">
      <c r="A45" s="19">
        <v>1</v>
      </c>
      <c r="B45" s="30">
        <v>2</v>
      </c>
      <c r="C45" s="31"/>
      <c r="D45" s="32"/>
      <c r="E45" s="19">
        <v>3</v>
      </c>
      <c r="F45" s="19">
        <v>4</v>
      </c>
      <c r="G45" s="19">
        <v>5</v>
      </c>
      <c r="H45" s="19">
        <v>6</v>
      </c>
    </row>
    <row r="46" hidden="1" spans="1:8">
      <c r="A46" s="20">
        <v>1</v>
      </c>
      <c r="B46" s="33" t="s">
        <v>401</v>
      </c>
      <c r="C46" s="34"/>
      <c r="D46" s="35"/>
      <c r="E46" s="36"/>
      <c r="F46" s="36">
        <f>F48</f>
        <v>0</v>
      </c>
      <c r="G46" s="36">
        <f t="shared" ref="G46:H46" si="4">G48</f>
        <v>0</v>
      </c>
      <c r="H46" s="36">
        <f t="shared" si="4"/>
        <v>0</v>
      </c>
    </row>
    <row r="47" hidden="1" spans="1:8">
      <c r="A47" s="20"/>
      <c r="B47" s="33" t="s">
        <v>54</v>
      </c>
      <c r="C47" s="34"/>
      <c r="D47" s="35"/>
      <c r="E47" s="36"/>
      <c r="F47" s="36"/>
      <c r="G47" s="36"/>
      <c r="H47" s="36"/>
    </row>
    <row r="48" hidden="1" spans="1:8">
      <c r="A48" s="37"/>
      <c r="B48" s="33" t="s">
        <v>402</v>
      </c>
      <c r="C48" s="34"/>
      <c r="D48" s="35"/>
      <c r="E48" s="36">
        <f>I22+I27</f>
        <v>0</v>
      </c>
      <c r="F48" s="36">
        <f>ROUND(E48*0.22,0)</f>
        <v>0</v>
      </c>
      <c r="G48" s="36">
        <f>ROUND(J28*0.22,0)</f>
        <v>0</v>
      </c>
      <c r="H48" s="36">
        <f>ROUND(K28*0.22,0)</f>
        <v>0</v>
      </c>
    </row>
    <row r="49" hidden="1" spans="1:8">
      <c r="A49" s="20">
        <v>2</v>
      </c>
      <c r="B49" s="33" t="s">
        <v>403</v>
      </c>
      <c r="C49" s="34"/>
      <c r="D49" s="35"/>
      <c r="E49" s="36"/>
      <c r="F49" s="36">
        <f>F50+F51</f>
        <v>0</v>
      </c>
      <c r="G49" s="36">
        <f t="shared" ref="G49:H49" si="5">G50+G51</f>
        <v>0</v>
      </c>
      <c r="H49" s="36">
        <f t="shared" si="5"/>
        <v>0</v>
      </c>
    </row>
    <row r="50" hidden="1" spans="1:8">
      <c r="A50" s="20"/>
      <c r="B50" s="33" t="s">
        <v>404</v>
      </c>
      <c r="C50" s="34"/>
      <c r="D50" s="35"/>
      <c r="E50" s="36">
        <f>E48</f>
        <v>0</v>
      </c>
      <c r="F50" s="36">
        <f>ROUND(E50*0.029,0)</f>
        <v>0</v>
      </c>
      <c r="G50" s="36">
        <f>ROUND(J28*0.029,0)</f>
        <v>0</v>
      </c>
      <c r="H50" s="36">
        <f>ROUND(K28*0.029,0)</f>
        <v>0</v>
      </c>
    </row>
    <row r="51" hidden="1" spans="1:8">
      <c r="A51" s="20"/>
      <c r="B51" s="33" t="s">
        <v>405</v>
      </c>
      <c r="C51" s="34"/>
      <c r="D51" s="35"/>
      <c r="E51" s="36">
        <f>E50</f>
        <v>0</v>
      </c>
      <c r="F51" s="36">
        <f>ROUND(E51*0.002,0)</f>
        <v>0</v>
      </c>
      <c r="G51" s="36">
        <f>ROUND(J28*0.002,0)</f>
        <v>0</v>
      </c>
      <c r="H51" s="36">
        <f>ROUND(K28*0.002,0)</f>
        <v>0</v>
      </c>
    </row>
    <row r="52" hidden="1" spans="1:8">
      <c r="A52" s="20">
        <v>3</v>
      </c>
      <c r="B52" s="33" t="s">
        <v>406</v>
      </c>
      <c r="C52" s="34"/>
      <c r="D52" s="35"/>
      <c r="E52" s="36">
        <f>E51</f>
        <v>0</v>
      </c>
      <c r="F52" s="36">
        <f>ROUND(E52*0.051,0)</f>
        <v>0</v>
      </c>
      <c r="G52" s="36">
        <f>ROUND(J28*0.051,0)</f>
        <v>0</v>
      </c>
      <c r="H52" s="36">
        <f>ROUND(K28*0.051,0)</f>
        <v>0</v>
      </c>
    </row>
    <row r="53" s="4" customFormat="1" ht="14.25" hidden="1" spans="1:11">
      <c r="A53" s="23"/>
      <c r="B53" s="38" t="s">
        <v>387</v>
      </c>
      <c r="C53" s="38"/>
      <c r="D53" s="38"/>
      <c r="E53" s="39"/>
      <c r="F53" s="39">
        <f>F46+F49+F52</f>
        <v>0</v>
      </c>
      <c r="G53" s="39">
        <f t="shared" ref="G53:H53" si="6">G46+G49+G52</f>
        <v>0</v>
      </c>
      <c r="H53" s="39">
        <f t="shared" si="6"/>
        <v>0</v>
      </c>
      <c r="I53" s="44"/>
      <c r="J53" s="44"/>
      <c r="K53" s="44"/>
    </row>
    <row r="54" hidden="1"/>
    <row r="55" s="5" customFormat="1" ht="14.25" hidden="1" spans="1:11">
      <c r="A55" s="5" t="s">
        <v>407</v>
      </c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hidden="1"/>
    <row r="57" ht="24" hidden="1" spans="1:8">
      <c r="A57" s="25" t="s">
        <v>389</v>
      </c>
      <c r="B57" s="27" t="s">
        <v>24</v>
      </c>
      <c r="C57" s="29"/>
      <c r="D57" s="18" t="s">
        <v>408</v>
      </c>
      <c r="E57" s="18" t="s">
        <v>409</v>
      </c>
      <c r="F57" s="18" t="s">
        <v>410</v>
      </c>
      <c r="G57" s="18" t="s">
        <v>411</v>
      </c>
      <c r="H57" s="18" t="s">
        <v>412</v>
      </c>
    </row>
    <row r="58" hidden="1" spans="1:8">
      <c r="A58" s="19">
        <v>1</v>
      </c>
      <c r="B58" s="30">
        <v>2</v>
      </c>
      <c r="C58" s="32"/>
      <c r="D58" s="19">
        <v>3</v>
      </c>
      <c r="E58" s="19">
        <v>4</v>
      </c>
      <c r="F58" s="19">
        <v>5</v>
      </c>
      <c r="G58" s="19">
        <v>6</v>
      </c>
      <c r="H58" s="19">
        <v>7</v>
      </c>
    </row>
    <row r="59" hidden="1" spans="1:8">
      <c r="A59" s="20">
        <v>1</v>
      </c>
      <c r="B59" s="30" t="s">
        <v>413</v>
      </c>
      <c r="C59" s="32"/>
      <c r="D59" s="21"/>
      <c r="E59" s="21"/>
      <c r="F59" s="36">
        <f>D59*E59</f>
        <v>0</v>
      </c>
      <c r="G59" s="36"/>
      <c r="H59" s="36"/>
    </row>
    <row r="60" hidden="1" spans="1:8">
      <c r="A60" s="20">
        <v>2</v>
      </c>
      <c r="B60" s="30" t="s">
        <v>414</v>
      </c>
      <c r="C60" s="32"/>
      <c r="D60" s="21"/>
      <c r="E60" s="21"/>
      <c r="F60" s="36">
        <f t="shared" ref="F60:F64" si="7">D60*E60</f>
        <v>0</v>
      </c>
      <c r="G60" s="36"/>
      <c r="H60" s="36"/>
    </row>
    <row r="61" hidden="1" spans="1:8">
      <c r="A61" s="20">
        <v>1</v>
      </c>
      <c r="B61" s="78" t="s">
        <v>386</v>
      </c>
      <c r="C61" s="79"/>
      <c r="D61" s="21"/>
      <c r="E61" s="21"/>
      <c r="F61" s="36">
        <f t="shared" si="7"/>
        <v>0</v>
      </c>
      <c r="G61" s="36">
        <v>0</v>
      </c>
      <c r="H61" s="36">
        <v>0</v>
      </c>
    </row>
    <row r="62" hidden="1" spans="1:8">
      <c r="A62" s="20">
        <v>2</v>
      </c>
      <c r="B62" s="30" t="s">
        <v>574</v>
      </c>
      <c r="C62" s="32"/>
      <c r="D62" s="21"/>
      <c r="E62" s="21"/>
      <c r="F62" s="36">
        <f t="shared" si="7"/>
        <v>0</v>
      </c>
      <c r="G62" s="36">
        <v>0</v>
      </c>
      <c r="H62" s="36">
        <v>0</v>
      </c>
    </row>
    <row r="63" hidden="1" spans="1:8">
      <c r="A63" s="20">
        <v>3</v>
      </c>
      <c r="B63" s="30"/>
      <c r="C63" s="32"/>
      <c r="D63" s="21"/>
      <c r="E63" s="21"/>
      <c r="F63" s="36">
        <f t="shared" si="7"/>
        <v>0</v>
      </c>
      <c r="G63" s="36"/>
      <c r="H63" s="36"/>
    </row>
    <row r="64" hidden="1" spans="1:8">
      <c r="A64" s="20"/>
      <c r="B64" s="30"/>
      <c r="C64" s="32"/>
      <c r="D64" s="21"/>
      <c r="E64" s="21"/>
      <c r="F64" s="36">
        <f t="shared" si="7"/>
        <v>0</v>
      </c>
      <c r="G64" s="36"/>
      <c r="H64" s="36"/>
    </row>
    <row r="65" s="4" customFormat="1" ht="14.25" hidden="1" spans="1:11">
      <c r="A65" s="23"/>
      <c r="B65" s="45" t="s">
        <v>387</v>
      </c>
      <c r="C65" s="46"/>
      <c r="D65" s="24"/>
      <c r="E65" s="24"/>
      <c r="F65" s="39">
        <f>SUM(F59:F64)</f>
        <v>0</v>
      </c>
      <c r="G65" s="39">
        <f t="shared" ref="G65:H65" si="8">SUM(G59:G64)</f>
        <v>0</v>
      </c>
      <c r="H65" s="39">
        <f t="shared" si="8"/>
        <v>0</v>
      </c>
      <c r="I65" s="44"/>
      <c r="J65" s="44"/>
      <c r="K65" s="44"/>
    </row>
    <row r="66" hidden="1"/>
    <row r="67" s="5" customFormat="1" ht="14.25" hidden="1" spans="1:11">
      <c r="A67" s="5" t="s">
        <v>415</v>
      </c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hidden="1"/>
    <row r="69" ht="72" hidden="1" spans="1:8">
      <c r="A69" s="25" t="s">
        <v>389</v>
      </c>
      <c r="B69" s="27" t="s">
        <v>416</v>
      </c>
      <c r="C69" s="29"/>
      <c r="D69" s="18" t="s">
        <v>417</v>
      </c>
      <c r="E69" s="18" t="s">
        <v>418</v>
      </c>
      <c r="F69" s="18" t="s">
        <v>419</v>
      </c>
      <c r="G69" s="18" t="s">
        <v>420</v>
      </c>
      <c r="H69" s="18" t="s">
        <v>421</v>
      </c>
    </row>
    <row r="70" hidden="1" spans="1:8">
      <c r="A70" s="19">
        <v>1</v>
      </c>
      <c r="B70" s="30">
        <v>2</v>
      </c>
      <c r="C70" s="32"/>
      <c r="D70" s="19">
        <v>3</v>
      </c>
      <c r="E70" s="19">
        <v>4</v>
      </c>
      <c r="F70" s="19">
        <v>5</v>
      </c>
      <c r="G70" s="19">
        <v>6</v>
      </c>
      <c r="H70" s="19">
        <v>7</v>
      </c>
    </row>
    <row r="71" hidden="1" spans="1:8">
      <c r="A71" s="20">
        <v>1</v>
      </c>
      <c r="B71" s="47" t="s">
        <v>422</v>
      </c>
      <c r="C71" s="48"/>
      <c r="D71" s="21"/>
      <c r="E71" s="49">
        <v>0.015</v>
      </c>
      <c r="F71" s="36">
        <f>ROUND(D71*E71,0)</f>
        <v>0</v>
      </c>
      <c r="G71" s="36">
        <f>F71</f>
        <v>0</v>
      </c>
      <c r="H71" s="36">
        <f>G71</f>
        <v>0</v>
      </c>
    </row>
    <row r="72" hidden="1" spans="1:8">
      <c r="A72" s="20">
        <v>2</v>
      </c>
      <c r="B72" s="47" t="s">
        <v>422</v>
      </c>
      <c r="C72" s="48"/>
      <c r="D72" s="21"/>
      <c r="E72" s="49">
        <v>0.015</v>
      </c>
      <c r="F72" s="36">
        <f t="shared" ref="F72:F75" si="9">ROUND(D72*E72,0)</f>
        <v>0</v>
      </c>
      <c r="G72" s="36">
        <f t="shared" ref="G72:H74" si="10">F72</f>
        <v>0</v>
      </c>
      <c r="H72" s="36">
        <f t="shared" si="10"/>
        <v>0</v>
      </c>
    </row>
    <row r="73" hidden="1" spans="1:8">
      <c r="A73" s="20">
        <v>3</v>
      </c>
      <c r="B73" s="47" t="s">
        <v>422</v>
      </c>
      <c r="C73" s="48"/>
      <c r="D73" s="21"/>
      <c r="E73" s="49">
        <v>0.015</v>
      </c>
      <c r="F73" s="36">
        <f t="shared" si="9"/>
        <v>0</v>
      </c>
      <c r="G73" s="36">
        <f t="shared" si="10"/>
        <v>0</v>
      </c>
      <c r="H73" s="36">
        <f t="shared" si="10"/>
        <v>0</v>
      </c>
    </row>
    <row r="74" hidden="1" spans="1:8">
      <c r="A74" s="20">
        <v>4</v>
      </c>
      <c r="B74" s="47" t="s">
        <v>422</v>
      </c>
      <c r="C74" s="48"/>
      <c r="D74" s="21"/>
      <c r="E74" s="49">
        <v>0.015</v>
      </c>
      <c r="F74" s="36">
        <f t="shared" si="9"/>
        <v>0</v>
      </c>
      <c r="G74" s="36">
        <f t="shared" si="10"/>
        <v>0</v>
      </c>
      <c r="H74" s="36">
        <f t="shared" si="10"/>
        <v>0</v>
      </c>
    </row>
    <row r="75" hidden="1" spans="1:8">
      <c r="A75" s="20">
        <v>5</v>
      </c>
      <c r="B75" s="47" t="s">
        <v>423</v>
      </c>
      <c r="C75" s="48"/>
      <c r="D75" s="21"/>
      <c r="E75" s="49">
        <v>0.022</v>
      </c>
      <c r="F75" s="36">
        <f t="shared" si="9"/>
        <v>0</v>
      </c>
      <c r="G75" s="36">
        <f>F75</f>
        <v>0</v>
      </c>
      <c r="H75" s="36">
        <f>G75</f>
        <v>0</v>
      </c>
    </row>
    <row r="76" hidden="1" spans="1:8">
      <c r="A76" s="20"/>
      <c r="B76" s="30"/>
      <c r="C76" s="32"/>
      <c r="D76" s="21"/>
      <c r="E76" s="21"/>
      <c r="F76" s="36"/>
      <c r="G76" s="36"/>
      <c r="H76" s="36"/>
    </row>
    <row r="77" s="4" customFormat="1" ht="14.25" hidden="1" spans="1:11">
      <c r="A77" s="23"/>
      <c r="B77" s="45" t="s">
        <v>387</v>
      </c>
      <c r="C77" s="46"/>
      <c r="D77" s="24"/>
      <c r="E77" s="24"/>
      <c r="F77" s="39">
        <f>SUM(F71:F76)</f>
        <v>0</v>
      </c>
      <c r="G77" s="39">
        <f>SUM(G71:G76)</f>
        <v>0</v>
      </c>
      <c r="H77" s="39">
        <f>SUM(H71:H76)</f>
        <v>0</v>
      </c>
      <c r="I77" s="44"/>
      <c r="J77" s="44"/>
      <c r="K77" s="44"/>
    </row>
    <row r="78" hidden="1"/>
    <row r="79" hidden="1" spans="1:8">
      <c r="A79" s="50" t="s">
        <v>424</v>
      </c>
      <c r="B79" s="50"/>
      <c r="C79" s="50"/>
      <c r="D79" s="50"/>
      <c r="E79" s="50"/>
      <c r="F79" s="50"/>
      <c r="G79" s="50"/>
      <c r="H79" s="50"/>
    </row>
    <row r="80" hidden="1"/>
    <row r="81" ht="36" hidden="1" spans="1:8">
      <c r="A81" s="25" t="s">
        <v>389</v>
      </c>
      <c r="B81" s="27" t="s">
        <v>24</v>
      </c>
      <c r="C81" s="29"/>
      <c r="D81" s="18" t="s">
        <v>425</v>
      </c>
      <c r="E81" s="18" t="s">
        <v>409</v>
      </c>
      <c r="F81" s="18" t="s">
        <v>696</v>
      </c>
      <c r="G81" s="18" t="s">
        <v>697</v>
      </c>
      <c r="H81" s="18" t="s">
        <v>698</v>
      </c>
    </row>
    <row r="82" hidden="1" spans="1:8">
      <c r="A82" s="19">
        <v>1</v>
      </c>
      <c r="B82" s="30">
        <v>2</v>
      </c>
      <c r="C82" s="32"/>
      <c r="D82" s="19">
        <v>3</v>
      </c>
      <c r="E82" s="19">
        <v>4</v>
      </c>
      <c r="F82" s="19">
        <v>5</v>
      </c>
      <c r="G82" s="19">
        <v>6</v>
      </c>
      <c r="H82" s="19">
        <v>7</v>
      </c>
    </row>
    <row r="83" hidden="1" spans="1:8">
      <c r="A83" s="20"/>
      <c r="B83" s="30"/>
      <c r="C83" s="32"/>
      <c r="D83" s="21"/>
      <c r="E83" s="21"/>
      <c r="F83" s="21"/>
      <c r="G83" s="21"/>
      <c r="H83" s="21"/>
    </row>
    <row r="84" hidden="1" spans="1:8">
      <c r="A84" s="20"/>
      <c r="B84" s="30"/>
      <c r="C84" s="32"/>
      <c r="D84" s="21"/>
      <c r="E84" s="21"/>
      <c r="F84" s="21"/>
      <c r="G84" s="21"/>
      <c r="H84" s="21"/>
    </row>
    <row r="85" hidden="1" spans="1:8">
      <c r="A85" s="20"/>
      <c r="B85" s="30"/>
      <c r="C85" s="32"/>
      <c r="D85" s="21"/>
      <c r="E85" s="21"/>
      <c r="F85" s="21"/>
      <c r="G85" s="21"/>
      <c r="H85" s="21"/>
    </row>
    <row r="86" hidden="1" spans="1:8">
      <c r="A86" s="20"/>
      <c r="B86" s="30"/>
      <c r="C86" s="32"/>
      <c r="D86" s="21"/>
      <c r="E86" s="21"/>
      <c r="F86" s="21"/>
      <c r="G86" s="21"/>
      <c r="H86" s="21"/>
    </row>
    <row r="87" hidden="1" spans="1:8">
      <c r="A87" s="20"/>
      <c r="B87" s="30"/>
      <c r="C87" s="32"/>
      <c r="D87" s="21"/>
      <c r="E87" s="21"/>
      <c r="F87" s="21"/>
      <c r="G87" s="21"/>
      <c r="H87" s="21"/>
    </row>
    <row r="88" hidden="1" spans="1:8">
      <c r="A88" s="20"/>
      <c r="B88" s="30"/>
      <c r="C88" s="32"/>
      <c r="D88" s="21"/>
      <c r="E88" s="21"/>
      <c r="F88" s="21"/>
      <c r="G88" s="21"/>
      <c r="H88" s="21"/>
    </row>
    <row r="89" hidden="1" spans="1:8">
      <c r="A89" s="20"/>
      <c r="B89" s="30" t="s">
        <v>387</v>
      </c>
      <c r="C89" s="32"/>
      <c r="D89" s="21"/>
      <c r="E89" s="21"/>
      <c r="F89" s="21">
        <f>F83+F84+F85+F86</f>
        <v>0</v>
      </c>
      <c r="G89" s="21"/>
      <c r="H89" s="21"/>
    </row>
    <row r="90" hidden="1"/>
    <row r="91" s="5" customFormat="1" ht="14.25" spans="1:11">
      <c r="A91" s="5" t="s">
        <v>427</v>
      </c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="5" customFormat="1" ht="14.25" hidden="1" spans="1:11">
      <c r="A92" s="5" t="s">
        <v>428</v>
      </c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hidden="1"/>
    <row r="94" ht="24" hidden="1" spans="1:9">
      <c r="A94" s="25" t="s">
        <v>389</v>
      </c>
      <c r="B94" s="27" t="s">
        <v>560</v>
      </c>
      <c r="C94" s="29"/>
      <c r="D94" s="18" t="s">
        <v>429</v>
      </c>
      <c r="E94" s="18" t="s">
        <v>430</v>
      </c>
      <c r="F94" s="18" t="s">
        <v>431</v>
      </c>
      <c r="G94" s="18" t="s">
        <v>410</v>
      </c>
      <c r="H94" s="18" t="s">
        <v>411</v>
      </c>
      <c r="I94" s="18" t="s">
        <v>412</v>
      </c>
    </row>
    <row r="95" hidden="1" spans="1:9">
      <c r="A95" s="19">
        <v>1</v>
      </c>
      <c r="B95" s="30">
        <v>2</v>
      </c>
      <c r="C95" s="32"/>
      <c r="D95" s="19">
        <v>3</v>
      </c>
      <c r="E95" s="19">
        <v>4</v>
      </c>
      <c r="F95" s="19">
        <v>5</v>
      </c>
      <c r="G95" s="19">
        <v>6</v>
      </c>
      <c r="H95" s="19">
        <v>7</v>
      </c>
      <c r="I95" s="19">
        <v>8</v>
      </c>
    </row>
    <row r="96" hidden="1" spans="1:9">
      <c r="A96" s="20"/>
      <c r="B96" s="47" t="s">
        <v>561</v>
      </c>
      <c r="C96" s="48"/>
      <c r="D96" s="21"/>
      <c r="E96" s="21"/>
      <c r="F96" s="21"/>
      <c r="G96" s="36"/>
      <c r="H96" s="36"/>
      <c r="I96" s="36"/>
    </row>
    <row r="97" hidden="1" spans="1:9">
      <c r="A97" s="20"/>
      <c r="B97" s="47" t="s">
        <v>434</v>
      </c>
      <c r="C97" s="48"/>
      <c r="D97" s="21"/>
      <c r="E97" s="21">
        <v>12</v>
      </c>
      <c r="F97" s="21">
        <v>247.8</v>
      </c>
      <c r="G97" s="36">
        <f>D97*E97*F97</f>
        <v>0</v>
      </c>
      <c r="H97" s="36"/>
      <c r="I97" s="36"/>
    </row>
    <row r="98" hidden="1" spans="1:9">
      <c r="A98" s="20"/>
      <c r="B98" s="47" t="s">
        <v>435</v>
      </c>
      <c r="C98" s="48"/>
      <c r="D98" s="21"/>
      <c r="E98" s="21">
        <v>12</v>
      </c>
      <c r="F98" s="21">
        <v>0.61</v>
      </c>
      <c r="G98" s="36">
        <f t="shared" ref="G98:G99" si="11">D98*E98*F98</f>
        <v>0</v>
      </c>
      <c r="H98" s="36"/>
      <c r="I98" s="36"/>
    </row>
    <row r="99" hidden="1" spans="1:9">
      <c r="A99" s="20"/>
      <c r="B99" s="47" t="s">
        <v>436</v>
      </c>
      <c r="C99" s="48"/>
      <c r="D99" s="21"/>
      <c r="E99" s="21">
        <v>12</v>
      </c>
      <c r="F99" s="21">
        <v>2341.43</v>
      </c>
      <c r="G99" s="36">
        <f t="shared" si="11"/>
        <v>0</v>
      </c>
      <c r="H99" s="36"/>
      <c r="I99" s="36"/>
    </row>
    <row r="100" hidden="1" spans="1:9">
      <c r="A100" s="20"/>
      <c r="B100" s="30"/>
      <c r="C100" s="32"/>
      <c r="D100" s="21"/>
      <c r="E100" s="21"/>
      <c r="F100" s="21"/>
      <c r="G100" s="36"/>
      <c r="H100" s="36"/>
      <c r="I100" s="36"/>
    </row>
    <row r="101" hidden="1" spans="1:9">
      <c r="A101" s="20"/>
      <c r="B101" s="30"/>
      <c r="C101" s="32"/>
      <c r="D101" s="21"/>
      <c r="E101" s="21"/>
      <c r="F101" s="21"/>
      <c r="G101" s="36"/>
      <c r="H101" s="36"/>
      <c r="I101" s="36"/>
    </row>
    <row r="102" s="4" customFormat="1" ht="14.25" hidden="1" spans="1:11">
      <c r="A102" s="23"/>
      <c r="B102" s="45" t="s">
        <v>387</v>
      </c>
      <c r="C102" s="46"/>
      <c r="D102" s="24"/>
      <c r="E102" s="24"/>
      <c r="F102" s="24"/>
      <c r="G102" s="39">
        <f>ROUND(SUM(G96:G101),0)</f>
        <v>0</v>
      </c>
      <c r="H102" s="39">
        <f t="shared" ref="H102:I102" si="12">SUM(H96:H101)</f>
        <v>0</v>
      </c>
      <c r="I102" s="39">
        <f t="shared" si="12"/>
        <v>0</v>
      </c>
      <c r="J102" s="44"/>
      <c r="K102" s="44"/>
    </row>
    <row r="103" hidden="1"/>
    <row r="104" s="5" customFormat="1" ht="14.25" hidden="1" spans="1:11">
      <c r="A104" s="5" t="s">
        <v>437</v>
      </c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hidden="1"/>
    <row r="106" ht="36" hidden="1" spans="1:8">
      <c r="A106" s="25" t="s">
        <v>389</v>
      </c>
      <c r="B106" s="27" t="s">
        <v>416</v>
      </c>
      <c r="C106" s="29"/>
      <c r="D106" s="18" t="s">
        <v>438</v>
      </c>
      <c r="E106" s="18" t="s">
        <v>439</v>
      </c>
      <c r="F106" s="18" t="s">
        <v>410</v>
      </c>
      <c r="G106" s="18" t="s">
        <v>411</v>
      </c>
      <c r="H106" s="18" t="s">
        <v>412</v>
      </c>
    </row>
    <row r="107" hidden="1" spans="1:8">
      <c r="A107" s="19">
        <v>1</v>
      </c>
      <c r="B107" s="30">
        <v>2</v>
      </c>
      <c r="C107" s="32"/>
      <c r="D107" s="19">
        <v>3</v>
      </c>
      <c r="E107" s="19">
        <v>4</v>
      </c>
      <c r="F107" s="19">
        <v>5</v>
      </c>
      <c r="G107" s="19">
        <v>6</v>
      </c>
      <c r="H107" s="19">
        <v>7</v>
      </c>
    </row>
    <row r="108" hidden="1" spans="1:8">
      <c r="A108" s="20">
        <v>1</v>
      </c>
      <c r="B108" s="30" t="s">
        <v>440</v>
      </c>
      <c r="C108" s="32"/>
      <c r="D108" s="21"/>
      <c r="E108" s="21"/>
      <c r="F108" s="21">
        <f>D108*E108</f>
        <v>0</v>
      </c>
      <c r="G108" s="21"/>
      <c r="H108" s="21"/>
    </row>
    <row r="109" hidden="1" spans="1:8">
      <c r="A109" s="20"/>
      <c r="B109" s="30"/>
      <c r="C109" s="32"/>
      <c r="D109" s="21"/>
      <c r="E109" s="21"/>
      <c r="F109" s="21">
        <f t="shared" ref="F109:F113" si="13">D109*E109</f>
        <v>0</v>
      </c>
      <c r="G109" s="21"/>
      <c r="H109" s="21"/>
    </row>
    <row r="110" hidden="1" spans="1:8">
      <c r="A110" s="20"/>
      <c r="B110" s="30"/>
      <c r="C110" s="32"/>
      <c r="D110" s="21"/>
      <c r="E110" s="21"/>
      <c r="F110" s="21">
        <f t="shared" si="13"/>
        <v>0</v>
      </c>
      <c r="G110" s="21"/>
      <c r="H110" s="21"/>
    </row>
    <row r="111" hidden="1" spans="1:8">
      <c r="A111" s="20"/>
      <c r="B111" s="30"/>
      <c r="C111" s="32"/>
      <c r="D111" s="21"/>
      <c r="E111" s="21"/>
      <c r="F111" s="21">
        <f t="shared" si="13"/>
        <v>0</v>
      </c>
      <c r="G111" s="21"/>
      <c r="H111" s="21"/>
    </row>
    <row r="112" hidden="1" spans="1:8">
      <c r="A112" s="20"/>
      <c r="B112" s="30"/>
      <c r="C112" s="32"/>
      <c r="D112" s="21"/>
      <c r="E112" s="21"/>
      <c r="F112" s="21">
        <f t="shared" si="13"/>
        <v>0</v>
      </c>
      <c r="G112" s="21"/>
      <c r="H112" s="21"/>
    </row>
    <row r="113" hidden="1" spans="1:8">
      <c r="A113" s="20"/>
      <c r="B113" s="30"/>
      <c r="C113" s="32"/>
      <c r="D113" s="21"/>
      <c r="E113" s="21"/>
      <c r="F113" s="21">
        <f t="shared" si="13"/>
        <v>0</v>
      </c>
      <c r="G113" s="21"/>
      <c r="H113" s="21"/>
    </row>
    <row r="114" s="4" customFormat="1" ht="14.25" hidden="1" spans="1:11">
      <c r="A114" s="23"/>
      <c r="B114" s="45" t="s">
        <v>387</v>
      </c>
      <c r="C114" s="46"/>
      <c r="D114" s="24"/>
      <c r="E114" s="24"/>
      <c r="F114" s="24">
        <f>SUM(F108:F113)</f>
        <v>0</v>
      </c>
      <c r="G114" s="24">
        <f t="shared" ref="G114:H114" si="14">SUM(G108:G113)</f>
        <v>0</v>
      </c>
      <c r="H114" s="24">
        <f t="shared" si="14"/>
        <v>0</v>
      </c>
      <c r="I114" s="44"/>
      <c r="J114" s="44"/>
      <c r="K114" s="44"/>
    </row>
    <row r="115" hidden="1"/>
    <row r="116" s="5" customFormat="1" ht="14.25" hidden="1" spans="1:11">
      <c r="A116" s="5" t="s">
        <v>441</v>
      </c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hidden="1"/>
    <row r="118" ht="36" hidden="1" spans="1:9">
      <c r="A118" s="25" t="s">
        <v>389</v>
      </c>
      <c r="B118" s="27" t="s">
        <v>24</v>
      </c>
      <c r="C118" s="29"/>
      <c r="D118" s="18" t="s">
        <v>442</v>
      </c>
      <c r="E118" s="18" t="s">
        <v>443</v>
      </c>
      <c r="F118" s="18" t="s">
        <v>444</v>
      </c>
      <c r="G118" s="18" t="s">
        <v>410</v>
      </c>
      <c r="H118" s="18" t="s">
        <v>411</v>
      </c>
      <c r="I118" s="18" t="s">
        <v>412</v>
      </c>
    </row>
    <row r="119" hidden="1" spans="1:9">
      <c r="A119" s="19">
        <v>1</v>
      </c>
      <c r="B119" s="30">
        <v>2</v>
      </c>
      <c r="C119" s="32"/>
      <c r="D119" s="19">
        <v>3</v>
      </c>
      <c r="E119" s="19">
        <v>4</v>
      </c>
      <c r="F119" s="19">
        <v>5</v>
      </c>
      <c r="G119" s="19">
        <v>6</v>
      </c>
      <c r="H119" s="19">
        <v>7</v>
      </c>
      <c r="I119" s="19">
        <v>8</v>
      </c>
    </row>
    <row r="120" hidden="1" spans="1:9">
      <c r="A120" s="20"/>
      <c r="B120" s="30" t="s">
        <v>562</v>
      </c>
      <c r="C120" s="32"/>
      <c r="D120" s="21"/>
      <c r="E120" s="21"/>
      <c r="F120" s="21"/>
      <c r="G120" s="21">
        <f>D120*E120*F120</f>
        <v>0</v>
      </c>
      <c r="H120" s="21"/>
      <c r="I120" s="21"/>
    </row>
    <row r="121" hidden="1" spans="1:9">
      <c r="A121" s="20"/>
      <c r="B121" s="30"/>
      <c r="C121" s="32"/>
      <c r="D121" s="21"/>
      <c r="E121" s="21"/>
      <c r="F121" s="21"/>
      <c r="G121" s="21">
        <f t="shared" ref="G121:G125" si="15">D121*E121*F121</f>
        <v>0</v>
      </c>
      <c r="H121" s="21"/>
      <c r="I121" s="21"/>
    </row>
    <row r="122" hidden="1" spans="1:9">
      <c r="A122" s="20"/>
      <c r="B122" s="30" t="s">
        <v>562</v>
      </c>
      <c r="C122" s="32"/>
      <c r="D122" s="21"/>
      <c r="E122" s="21"/>
      <c r="F122" s="21"/>
      <c r="G122" s="21">
        <f t="shared" si="15"/>
        <v>0</v>
      </c>
      <c r="H122" s="21"/>
      <c r="I122" s="21"/>
    </row>
    <row r="123" hidden="1" spans="1:9">
      <c r="A123" s="20"/>
      <c r="B123" s="30"/>
      <c r="C123" s="32"/>
      <c r="D123" s="21"/>
      <c r="E123" s="21"/>
      <c r="F123" s="21"/>
      <c r="G123" s="21">
        <f t="shared" si="15"/>
        <v>0</v>
      </c>
      <c r="H123" s="21"/>
      <c r="I123" s="21"/>
    </row>
    <row r="124" hidden="1" spans="1:9">
      <c r="A124" s="20"/>
      <c r="B124" s="30" t="s">
        <v>562</v>
      </c>
      <c r="C124" s="32"/>
      <c r="D124" s="21"/>
      <c r="E124" s="21"/>
      <c r="F124" s="21"/>
      <c r="G124" s="21">
        <f t="shared" si="15"/>
        <v>0</v>
      </c>
      <c r="H124" s="21"/>
      <c r="I124" s="21"/>
    </row>
    <row r="125" hidden="1" spans="1:9">
      <c r="A125" s="20"/>
      <c r="B125" s="30"/>
      <c r="C125" s="32"/>
      <c r="D125" s="21"/>
      <c r="E125" s="21"/>
      <c r="F125" s="21"/>
      <c r="G125" s="21">
        <f t="shared" si="15"/>
        <v>0</v>
      </c>
      <c r="H125" s="21"/>
      <c r="I125" s="21"/>
    </row>
    <row r="126" s="4" customFormat="1" ht="14.25" hidden="1" spans="1:11">
      <c r="A126" s="23"/>
      <c r="B126" s="45" t="s">
        <v>387</v>
      </c>
      <c r="C126" s="46"/>
      <c r="D126" s="24"/>
      <c r="E126" s="24"/>
      <c r="F126" s="24"/>
      <c r="G126" s="24">
        <f>SUM(G120:G125)</f>
        <v>0</v>
      </c>
      <c r="H126" s="24">
        <f t="shared" ref="H126:I126" si="16">SUM(H120:H125)</f>
        <v>0</v>
      </c>
      <c r="I126" s="24">
        <f t="shared" si="16"/>
        <v>0</v>
      </c>
      <c r="J126" s="44"/>
      <c r="K126" s="44"/>
    </row>
    <row r="127" hidden="1"/>
    <row r="128" s="5" customFormat="1" ht="14.25" hidden="1" spans="1:11">
      <c r="A128" s="5" t="s">
        <v>461</v>
      </c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hidden="1"/>
    <row r="130" ht="48" hidden="1" spans="1:8">
      <c r="A130" s="25" t="s">
        <v>389</v>
      </c>
      <c r="B130" s="27" t="s">
        <v>24</v>
      </c>
      <c r="C130" s="29"/>
      <c r="D130" s="18" t="s">
        <v>462</v>
      </c>
      <c r="E130" s="18" t="s">
        <v>463</v>
      </c>
      <c r="F130" s="18" t="s">
        <v>464</v>
      </c>
      <c r="G130" s="18" t="s">
        <v>464</v>
      </c>
      <c r="H130" s="18" t="s">
        <v>464</v>
      </c>
    </row>
    <row r="131" hidden="1" spans="1:8">
      <c r="A131" s="19">
        <v>1</v>
      </c>
      <c r="B131" s="30">
        <v>2</v>
      </c>
      <c r="C131" s="32"/>
      <c r="D131" s="19">
        <v>3</v>
      </c>
      <c r="E131" s="19">
        <v>4</v>
      </c>
      <c r="F131" s="19">
        <v>5</v>
      </c>
      <c r="G131" s="19">
        <v>6</v>
      </c>
      <c r="H131" s="19">
        <v>7</v>
      </c>
    </row>
    <row r="132" hidden="1" spans="1:8">
      <c r="A132" s="20"/>
      <c r="B132" s="30"/>
      <c r="C132" s="32"/>
      <c r="D132" s="21"/>
      <c r="E132" s="21"/>
      <c r="F132" s="21"/>
      <c r="G132" s="21"/>
      <c r="H132" s="21"/>
    </row>
    <row r="133" hidden="1" spans="1:8">
      <c r="A133" s="20"/>
      <c r="B133" s="30"/>
      <c r="C133" s="32"/>
      <c r="D133" s="21"/>
      <c r="E133" s="21"/>
      <c r="F133" s="21"/>
      <c r="G133" s="21"/>
      <c r="H133" s="21"/>
    </row>
    <row r="134" hidden="1" spans="1:8">
      <c r="A134" s="20"/>
      <c r="B134" s="30"/>
      <c r="C134" s="32"/>
      <c r="D134" s="21"/>
      <c r="E134" s="21"/>
      <c r="F134" s="21"/>
      <c r="G134" s="21"/>
      <c r="H134" s="21"/>
    </row>
    <row r="135" hidden="1" spans="1:8">
      <c r="A135" s="20"/>
      <c r="B135" s="30"/>
      <c r="C135" s="32"/>
      <c r="D135" s="21"/>
      <c r="E135" s="21"/>
      <c r="F135" s="21"/>
      <c r="G135" s="21"/>
      <c r="H135" s="21"/>
    </row>
    <row r="136" hidden="1" spans="1:8">
      <c r="A136" s="20"/>
      <c r="B136" s="30"/>
      <c r="C136" s="32"/>
      <c r="D136" s="21"/>
      <c r="E136" s="21"/>
      <c r="F136" s="21"/>
      <c r="G136" s="21"/>
      <c r="H136" s="21"/>
    </row>
    <row r="137" hidden="1" spans="1:8">
      <c r="A137" s="20"/>
      <c r="B137" s="30"/>
      <c r="C137" s="32"/>
      <c r="D137" s="21"/>
      <c r="E137" s="21"/>
      <c r="F137" s="21"/>
      <c r="G137" s="21"/>
      <c r="H137" s="21"/>
    </row>
    <row r="138" s="4" customFormat="1" ht="14.25" hidden="1" spans="1:11">
      <c r="A138" s="23"/>
      <c r="B138" s="45" t="s">
        <v>387</v>
      </c>
      <c r="C138" s="46"/>
      <c r="D138" s="24"/>
      <c r="E138" s="24"/>
      <c r="F138" s="24">
        <f>SUM(F132:F137)</f>
        <v>0</v>
      </c>
      <c r="G138" s="24">
        <f t="shared" ref="G138:H138" si="17">SUM(G132:G137)</f>
        <v>0</v>
      </c>
      <c r="H138" s="24">
        <f t="shared" si="17"/>
        <v>0</v>
      </c>
      <c r="I138" s="44"/>
      <c r="J138" s="44"/>
      <c r="K138" s="44"/>
    </row>
    <row r="140" s="5" customFormat="1" ht="14.25" spans="1:11">
      <c r="A140" s="5" t="s">
        <v>465</v>
      </c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2" ht="24" spans="1:8">
      <c r="A142" s="25" t="s">
        <v>389</v>
      </c>
      <c r="B142" s="27" t="s">
        <v>24</v>
      </c>
      <c r="C142" s="29"/>
      <c r="D142" s="18" t="s">
        <v>466</v>
      </c>
      <c r="E142" s="18" t="s">
        <v>467</v>
      </c>
      <c r="F142" s="18" t="s">
        <v>410</v>
      </c>
      <c r="G142" s="18" t="s">
        <v>411</v>
      </c>
      <c r="H142" s="18" t="s">
        <v>412</v>
      </c>
    </row>
    <row r="143" spans="1:8">
      <c r="A143" s="19">
        <v>1</v>
      </c>
      <c r="B143" s="30">
        <v>2</v>
      </c>
      <c r="C143" s="32"/>
      <c r="D143" s="19">
        <v>3</v>
      </c>
      <c r="E143" s="19">
        <v>4</v>
      </c>
      <c r="F143" s="19">
        <v>5</v>
      </c>
      <c r="G143" s="19">
        <v>6</v>
      </c>
      <c r="H143" s="19">
        <v>7</v>
      </c>
    </row>
    <row r="144" ht="30" customHeight="1" spans="1:8">
      <c r="A144" s="20">
        <v>1</v>
      </c>
      <c r="B144" s="78" t="s">
        <v>699</v>
      </c>
      <c r="C144" s="79"/>
      <c r="D144" s="21">
        <v>2</v>
      </c>
      <c r="E144" s="21">
        <v>125000</v>
      </c>
      <c r="F144" s="21">
        <f>E144*D144</f>
        <v>250000</v>
      </c>
      <c r="G144" s="21"/>
      <c r="H144" s="21"/>
    </row>
    <row r="145" ht="30" customHeight="1" spans="1:8">
      <c r="A145" s="20"/>
      <c r="B145" s="52" t="s">
        <v>700</v>
      </c>
      <c r="C145" s="53"/>
      <c r="D145" s="21"/>
      <c r="E145" s="21"/>
      <c r="F145" s="21"/>
      <c r="G145" s="21"/>
      <c r="H145" s="21"/>
    </row>
    <row r="146" ht="21" customHeight="1" spans="1:8">
      <c r="A146" s="20"/>
      <c r="B146" s="30" t="s">
        <v>701</v>
      </c>
      <c r="C146" s="32"/>
      <c r="D146" s="21"/>
      <c r="E146" s="21"/>
      <c r="F146" s="21"/>
      <c r="G146" s="21"/>
      <c r="H146" s="21"/>
    </row>
    <row r="147" ht="21" customHeight="1" spans="1:8">
      <c r="A147" s="20"/>
      <c r="B147" s="30" t="s">
        <v>702</v>
      </c>
      <c r="C147" s="32"/>
      <c r="D147" s="21"/>
      <c r="E147" s="21"/>
      <c r="F147" s="21">
        <f t="shared" ref="F147:F163" si="18">E147*D147</f>
        <v>0</v>
      </c>
      <c r="G147" s="21"/>
      <c r="H147" s="21"/>
    </row>
    <row r="148" spans="1:8">
      <c r="A148" s="20">
        <v>2</v>
      </c>
      <c r="B148" s="30" t="s">
        <v>703</v>
      </c>
      <c r="C148" s="32"/>
      <c r="D148" s="21">
        <v>1</v>
      </c>
      <c r="E148" s="21">
        <v>100000</v>
      </c>
      <c r="F148" s="21">
        <f t="shared" si="18"/>
        <v>100000</v>
      </c>
      <c r="G148" s="21"/>
      <c r="H148" s="21"/>
    </row>
    <row r="149" ht="29.25" customHeight="1" spans="1:8">
      <c r="A149" s="20"/>
      <c r="B149" s="52" t="s">
        <v>704</v>
      </c>
      <c r="C149" s="53"/>
      <c r="D149" s="21"/>
      <c r="E149" s="21"/>
      <c r="F149" s="21">
        <f t="shared" si="18"/>
        <v>0</v>
      </c>
      <c r="G149" s="21"/>
      <c r="H149" s="21"/>
    </row>
    <row r="150" spans="1:8">
      <c r="A150" s="20"/>
      <c r="B150" s="30" t="s">
        <v>705</v>
      </c>
      <c r="C150" s="32"/>
      <c r="D150" s="21"/>
      <c r="E150" s="21"/>
      <c r="F150" s="21">
        <f t="shared" si="18"/>
        <v>0</v>
      </c>
      <c r="G150" s="21"/>
      <c r="H150" s="21"/>
    </row>
    <row r="151" hidden="1" spans="1:8">
      <c r="A151" s="20"/>
      <c r="B151" s="30"/>
      <c r="C151" s="32"/>
      <c r="D151" s="21"/>
      <c r="E151" s="21"/>
      <c r="F151" s="21">
        <f t="shared" si="18"/>
        <v>0</v>
      </c>
      <c r="G151" s="21"/>
      <c r="H151" s="21"/>
    </row>
    <row r="152" hidden="1" spans="1:8">
      <c r="A152" s="20"/>
      <c r="B152" s="30"/>
      <c r="C152" s="32"/>
      <c r="D152" s="21"/>
      <c r="E152" s="21"/>
      <c r="F152" s="21">
        <f t="shared" si="18"/>
        <v>0</v>
      </c>
      <c r="G152" s="21"/>
      <c r="H152" s="21"/>
    </row>
    <row r="153" hidden="1" spans="1:8">
      <c r="A153" s="20"/>
      <c r="B153" s="30"/>
      <c r="C153" s="32"/>
      <c r="D153" s="21"/>
      <c r="E153" s="21"/>
      <c r="F153" s="21">
        <f t="shared" si="18"/>
        <v>0</v>
      </c>
      <c r="G153" s="21"/>
      <c r="H153" s="21"/>
    </row>
    <row r="154" hidden="1" spans="1:8">
      <c r="A154" s="20"/>
      <c r="B154" s="30"/>
      <c r="C154" s="32"/>
      <c r="D154" s="21"/>
      <c r="E154" s="21"/>
      <c r="F154" s="21">
        <f t="shared" si="18"/>
        <v>0</v>
      </c>
      <c r="G154" s="21"/>
      <c r="H154" s="21"/>
    </row>
    <row r="155" hidden="1" spans="1:8">
      <c r="A155" s="20"/>
      <c r="B155" s="30"/>
      <c r="C155" s="32"/>
      <c r="D155" s="21"/>
      <c r="E155" s="21"/>
      <c r="F155" s="21">
        <f t="shared" si="18"/>
        <v>0</v>
      </c>
      <c r="G155" s="21"/>
      <c r="H155" s="21"/>
    </row>
    <row r="156" hidden="1" spans="1:8">
      <c r="A156" s="20"/>
      <c r="B156" s="30"/>
      <c r="C156" s="32"/>
      <c r="D156" s="21"/>
      <c r="E156" s="21"/>
      <c r="F156" s="21">
        <f t="shared" si="18"/>
        <v>0</v>
      </c>
      <c r="G156" s="21"/>
      <c r="H156" s="21"/>
    </row>
    <row r="157" hidden="1" spans="1:8">
      <c r="A157" s="20"/>
      <c r="B157" s="30"/>
      <c r="C157" s="32"/>
      <c r="D157" s="21"/>
      <c r="E157" s="21"/>
      <c r="F157" s="21">
        <f t="shared" si="18"/>
        <v>0</v>
      </c>
      <c r="G157" s="21"/>
      <c r="H157" s="21"/>
    </row>
    <row r="158" hidden="1" spans="1:8">
      <c r="A158" s="20"/>
      <c r="B158" s="30"/>
      <c r="C158" s="32"/>
      <c r="D158" s="21"/>
      <c r="E158" s="21"/>
      <c r="F158" s="21">
        <f t="shared" si="18"/>
        <v>0</v>
      </c>
      <c r="G158" s="21"/>
      <c r="H158" s="21"/>
    </row>
    <row r="159" hidden="1" spans="1:8">
      <c r="A159" s="20"/>
      <c r="B159" s="30"/>
      <c r="C159" s="32"/>
      <c r="D159" s="21"/>
      <c r="E159" s="21"/>
      <c r="F159" s="21">
        <f t="shared" si="18"/>
        <v>0</v>
      </c>
      <c r="G159" s="21"/>
      <c r="H159" s="21"/>
    </row>
    <row r="160" hidden="1" spans="1:8">
      <c r="A160" s="20"/>
      <c r="B160" s="30"/>
      <c r="C160" s="32"/>
      <c r="D160" s="21"/>
      <c r="E160" s="21"/>
      <c r="F160" s="21">
        <f t="shared" si="18"/>
        <v>0</v>
      </c>
      <c r="G160" s="21"/>
      <c r="H160" s="21"/>
    </row>
    <row r="161" hidden="1" spans="1:8">
      <c r="A161" s="20"/>
      <c r="B161" s="30"/>
      <c r="C161" s="32"/>
      <c r="D161" s="21"/>
      <c r="E161" s="21"/>
      <c r="F161" s="21">
        <f t="shared" si="18"/>
        <v>0</v>
      </c>
      <c r="G161" s="21"/>
      <c r="H161" s="21"/>
    </row>
    <row r="162" hidden="1" spans="1:8">
      <c r="A162" s="20"/>
      <c r="B162" s="30"/>
      <c r="C162" s="32"/>
      <c r="D162" s="21"/>
      <c r="E162" s="21"/>
      <c r="F162" s="21">
        <f t="shared" si="18"/>
        <v>0</v>
      </c>
      <c r="G162" s="21"/>
      <c r="H162" s="21"/>
    </row>
    <row r="163" hidden="1" spans="1:8">
      <c r="A163" s="20"/>
      <c r="B163" s="30"/>
      <c r="C163" s="32"/>
      <c r="D163" s="21"/>
      <c r="E163" s="21"/>
      <c r="F163" s="21">
        <f t="shared" si="18"/>
        <v>0</v>
      </c>
      <c r="G163" s="21"/>
      <c r="H163" s="21"/>
    </row>
    <row r="164" s="4" customFormat="1" ht="14.25" spans="1:11">
      <c r="A164" s="23"/>
      <c r="B164" s="45" t="s">
        <v>387</v>
      </c>
      <c r="C164" s="46"/>
      <c r="D164" s="24"/>
      <c r="E164" s="24"/>
      <c r="F164" s="24">
        <f>SUM(F144:F163)</f>
        <v>350000</v>
      </c>
      <c r="G164" s="24">
        <f t="shared" ref="G164:H164" si="19">SUM(G144:G163)</f>
        <v>0</v>
      </c>
      <c r="H164" s="24">
        <f t="shared" si="19"/>
        <v>0</v>
      </c>
      <c r="I164" s="44"/>
      <c r="J164" s="44"/>
      <c r="K164" s="44"/>
    </row>
    <row r="166" s="5" customFormat="1" ht="14.25" hidden="1" spans="1:11">
      <c r="A166" s="5" t="s">
        <v>502</v>
      </c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hidden="1"/>
    <row r="168" ht="24" hidden="1" spans="1:8">
      <c r="A168" s="25" t="s">
        <v>389</v>
      </c>
      <c r="B168" s="27" t="s">
        <v>416</v>
      </c>
      <c r="C168" s="29"/>
      <c r="D168" s="18" t="s">
        <v>466</v>
      </c>
      <c r="E168" s="18" t="s">
        <v>467</v>
      </c>
      <c r="F168" s="18" t="s">
        <v>410</v>
      </c>
      <c r="G168" s="18" t="s">
        <v>411</v>
      </c>
      <c r="H168" s="18" t="s">
        <v>412</v>
      </c>
    </row>
    <row r="169" hidden="1" spans="1:8">
      <c r="A169" s="19">
        <v>1</v>
      </c>
      <c r="B169" s="30">
        <v>2</v>
      </c>
      <c r="C169" s="32"/>
      <c r="D169" s="19">
        <v>3</v>
      </c>
      <c r="E169" s="19">
        <v>4</v>
      </c>
      <c r="F169" s="19">
        <v>5</v>
      </c>
      <c r="G169" s="19">
        <v>6</v>
      </c>
      <c r="H169" s="19">
        <v>7</v>
      </c>
    </row>
    <row r="170" hidden="1" spans="1:8">
      <c r="A170" s="20"/>
      <c r="B170" s="80"/>
      <c r="C170" s="81"/>
      <c r="D170" s="82"/>
      <c r="E170" s="21"/>
      <c r="F170" s="21">
        <f>E170*D170</f>
        <v>0</v>
      </c>
      <c r="G170" s="21"/>
      <c r="H170" s="21"/>
    </row>
    <row r="171" hidden="1" spans="1:8">
      <c r="A171" s="20"/>
      <c r="B171" s="80" t="s">
        <v>681</v>
      </c>
      <c r="C171" s="81"/>
      <c r="D171" s="82"/>
      <c r="E171" s="21"/>
      <c r="F171" s="21">
        <f t="shared" ref="F171:F196" si="20">E171*D171</f>
        <v>0</v>
      </c>
      <c r="G171" s="21"/>
      <c r="H171" s="21"/>
    </row>
    <row r="172" hidden="1" spans="1:8">
      <c r="A172" s="20"/>
      <c r="B172" s="80" t="s">
        <v>682</v>
      </c>
      <c r="C172" s="81"/>
      <c r="D172" s="82"/>
      <c r="E172" s="21"/>
      <c r="F172" s="21">
        <f t="shared" si="20"/>
        <v>0</v>
      </c>
      <c r="G172" s="21">
        <f>F172</f>
        <v>0</v>
      </c>
      <c r="H172" s="21">
        <f>G172</f>
        <v>0</v>
      </c>
    </row>
    <row r="173" hidden="1" spans="1:8">
      <c r="A173" s="20"/>
      <c r="B173" s="90" t="s">
        <v>683</v>
      </c>
      <c r="C173" s="91"/>
      <c r="D173" s="82"/>
      <c r="E173" s="21"/>
      <c r="F173" s="21"/>
      <c r="G173" s="21"/>
      <c r="H173" s="21"/>
    </row>
    <row r="174" hidden="1" spans="1:8">
      <c r="A174" s="20"/>
      <c r="B174" s="80" t="s">
        <v>682</v>
      </c>
      <c r="C174" s="81"/>
      <c r="D174" s="83"/>
      <c r="E174" s="21"/>
      <c r="F174" s="21">
        <f t="shared" ref="F174:F182" si="21">E174*D174</f>
        <v>0</v>
      </c>
      <c r="G174" s="21">
        <f>F174</f>
        <v>0</v>
      </c>
      <c r="H174" s="21">
        <f>G174</f>
        <v>0</v>
      </c>
    </row>
    <row r="175" hidden="1" spans="1:8">
      <c r="A175" s="20"/>
      <c r="B175" s="90" t="s">
        <v>684</v>
      </c>
      <c r="C175" s="91"/>
      <c r="D175" s="83"/>
      <c r="E175" s="21"/>
      <c r="F175" s="21"/>
      <c r="G175" s="21"/>
      <c r="H175" s="21"/>
    </row>
    <row r="176" hidden="1" spans="1:8">
      <c r="A176" s="20"/>
      <c r="B176" s="84" t="s">
        <v>685</v>
      </c>
      <c r="C176" s="85"/>
      <c r="D176" s="83"/>
      <c r="E176" s="21"/>
      <c r="F176" s="21">
        <f t="shared" si="21"/>
        <v>0</v>
      </c>
      <c r="G176" s="21">
        <f>F176</f>
        <v>0</v>
      </c>
      <c r="H176" s="21">
        <f>G176</f>
        <v>0</v>
      </c>
    </row>
    <row r="177" hidden="1" spans="1:8">
      <c r="A177" s="20"/>
      <c r="B177" s="90" t="s">
        <v>686</v>
      </c>
      <c r="C177" s="91"/>
      <c r="D177" s="83"/>
      <c r="E177" s="21"/>
      <c r="F177" s="21"/>
      <c r="G177" s="21"/>
      <c r="H177" s="21"/>
    </row>
    <row r="178" hidden="1" spans="1:8">
      <c r="A178" s="20"/>
      <c r="B178" s="84" t="s">
        <v>685</v>
      </c>
      <c r="C178" s="85"/>
      <c r="D178" s="83"/>
      <c r="E178" s="21"/>
      <c r="F178" s="21">
        <f t="shared" si="21"/>
        <v>0</v>
      </c>
      <c r="G178" s="21">
        <f>F178</f>
        <v>0</v>
      </c>
      <c r="H178" s="21">
        <f>G178</f>
        <v>0</v>
      </c>
    </row>
    <row r="179" hidden="1" spans="1:8">
      <c r="A179" s="20"/>
      <c r="B179" s="90" t="s">
        <v>687</v>
      </c>
      <c r="C179" s="91"/>
      <c r="D179" s="83"/>
      <c r="E179" s="21"/>
      <c r="F179" s="21"/>
      <c r="G179" s="21"/>
      <c r="H179" s="21"/>
    </row>
    <row r="180" hidden="1" spans="1:8">
      <c r="A180" s="20"/>
      <c r="B180" s="84" t="s">
        <v>688</v>
      </c>
      <c r="C180" s="85"/>
      <c r="D180" s="83"/>
      <c r="E180" s="21"/>
      <c r="F180" s="21">
        <f t="shared" si="21"/>
        <v>0</v>
      </c>
      <c r="G180" s="21">
        <f>F180</f>
        <v>0</v>
      </c>
      <c r="H180" s="21">
        <f>G180</f>
        <v>0</v>
      </c>
    </row>
    <row r="181" hidden="1" spans="1:8">
      <c r="A181" s="20"/>
      <c r="B181" s="90" t="s">
        <v>689</v>
      </c>
      <c r="C181" s="91"/>
      <c r="D181" s="83"/>
      <c r="E181" s="21"/>
      <c r="F181" s="21"/>
      <c r="G181" s="21"/>
      <c r="H181" s="21"/>
    </row>
    <row r="182" hidden="1" spans="1:8">
      <c r="A182" s="20"/>
      <c r="B182" s="84" t="s">
        <v>688</v>
      </c>
      <c r="C182" s="85"/>
      <c r="D182" s="83"/>
      <c r="E182" s="21"/>
      <c r="F182" s="21">
        <f t="shared" si="21"/>
        <v>0</v>
      </c>
      <c r="G182" s="21">
        <f>F182</f>
        <v>0</v>
      </c>
      <c r="H182" s="21">
        <f>G182</f>
        <v>0</v>
      </c>
    </row>
    <row r="183" hidden="1" spans="1:8">
      <c r="A183" s="20"/>
      <c r="B183" s="90" t="s">
        <v>690</v>
      </c>
      <c r="C183" s="92"/>
      <c r="D183" s="83"/>
      <c r="E183" s="21"/>
      <c r="F183" s="21"/>
      <c r="G183" s="21"/>
      <c r="H183" s="21"/>
    </row>
    <row r="184" hidden="1" spans="1:8">
      <c r="A184" s="20"/>
      <c r="B184" s="84" t="s">
        <v>691</v>
      </c>
      <c r="C184" s="85"/>
      <c r="D184" s="83"/>
      <c r="E184" s="21"/>
      <c r="F184" s="21">
        <f>ROUND(E184*D184,0)</f>
        <v>0</v>
      </c>
      <c r="G184" s="21">
        <f>F184</f>
        <v>0</v>
      </c>
      <c r="H184" s="21">
        <f>G184</f>
        <v>0</v>
      </c>
    </row>
    <row r="185" hidden="1" spans="1:8">
      <c r="A185" s="20"/>
      <c r="B185" s="80" t="s">
        <v>692</v>
      </c>
      <c r="C185" s="93"/>
      <c r="D185" s="83"/>
      <c r="E185" s="21"/>
      <c r="F185" s="21"/>
      <c r="G185" s="21"/>
      <c r="H185" s="21"/>
    </row>
    <row r="186" hidden="1" spans="1:8">
      <c r="A186" s="20"/>
      <c r="B186" s="84" t="s">
        <v>691</v>
      </c>
      <c r="C186" s="85"/>
      <c r="D186" s="57"/>
      <c r="E186" s="21"/>
      <c r="F186" s="21">
        <f>ROUND(E186*D186,0)</f>
        <v>0</v>
      </c>
      <c r="G186" s="21">
        <f>F186</f>
        <v>0</v>
      </c>
      <c r="H186" s="21">
        <f>G186</f>
        <v>0</v>
      </c>
    </row>
    <row r="187" hidden="1" spans="1:8">
      <c r="A187" s="20"/>
      <c r="B187" s="30"/>
      <c r="C187" s="32"/>
      <c r="D187" s="21"/>
      <c r="E187" s="21"/>
      <c r="F187" s="21">
        <f t="shared" si="20"/>
        <v>0</v>
      </c>
      <c r="G187" s="21"/>
      <c r="H187" s="21"/>
    </row>
    <row r="188" hidden="1" spans="1:8">
      <c r="A188" s="20"/>
      <c r="B188" s="30"/>
      <c r="C188" s="32"/>
      <c r="D188" s="21"/>
      <c r="E188" s="21"/>
      <c r="F188" s="21">
        <f t="shared" si="20"/>
        <v>0</v>
      </c>
      <c r="G188" s="21"/>
      <c r="H188" s="21"/>
    </row>
    <row r="189" hidden="1" spans="1:8">
      <c r="A189" s="20"/>
      <c r="B189" s="30"/>
      <c r="C189" s="32"/>
      <c r="D189" s="21"/>
      <c r="E189" s="21"/>
      <c r="F189" s="21">
        <f t="shared" si="20"/>
        <v>0</v>
      </c>
      <c r="G189" s="21"/>
      <c r="H189" s="21"/>
    </row>
    <row r="190" hidden="1" spans="1:8">
      <c r="A190" s="20"/>
      <c r="B190" s="30"/>
      <c r="C190" s="32"/>
      <c r="D190" s="21"/>
      <c r="E190" s="21"/>
      <c r="F190" s="21">
        <f t="shared" si="20"/>
        <v>0</v>
      </c>
      <c r="G190" s="21"/>
      <c r="H190" s="21"/>
    </row>
    <row r="191" hidden="1" spans="1:8">
      <c r="A191" s="20"/>
      <c r="B191" s="30"/>
      <c r="C191" s="32"/>
      <c r="D191" s="21"/>
      <c r="E191" s="21"/>
      <c r="F191" s="21">
        <f t="shared" si="20"/>
        <v>0</v>
      </c>
      <c r="G191" s="21"/>
      <c r="H191" s="21"/>
    </row>
    <row r="192" hidden="1" spans="1:8">
      <c r="A192" s="20"/>
      <c r="B192" s="30"/>
      <c r="C192" s="32"/>
      <c r="D192" s="21"/>
      <c r="E192" s="21"/>
      <c r="F192" s="21">
        <f t="shared" si="20"/>
        <v>0</v>
      </c>
      <c r="G192" s="21"/>
      <c r="H192" s="21"/>
    </row>
    <row r="193" hidden="1" spans="1:8">
      <c r="A193" s="20"/>
      <c r="B193" s="30"/>
      <c r="C193" s="32"/>
      <c r="D193" s="21"/>
      <c r="E193" s="21"/>
      <c r="F193" s="21">
        <f t="shared" si="20"/>
        <v>0</v>
      </c>
      <c r="G193" s="21"/>
      <c r="H193" s="21"/>
    </row>
    <row r="194" hidden="1" spans="1:8">
      <c r="A194" s="20"/>
      <c r="B194" s="30"/>
      <c r="C194" s="32"/>
      <c r="D194" s="21"/>
      <c r="E194" s="21"/>
      <c r="F194" s="21">
        <f t="shared" si="20"/>
        <v>0</v>
      </c>
      <c r="G194" s="21"/>
      <c r="H194" s="21"/>
    </row>
    <row r="195" hidden="1" spans="1:8">
      <c r="A195" s="20"/>
      <c r="B195" s="30"/>
      <c r="C195" s="32"/>
      <c r="D195" s="21"/>
      <c r="E195" s="21"/>
      <c r="F195" s="21">
        <f t="shared" si="20"/>
        <v>0</v>
      </c>
      <c r="G195" s="21"/>
      <c r="H195" s="21"/>
    </row>
    <row r="196" hidden="1" spans="1:8">
      <c r="A196" s="20"/>
      <c r="B196" s="80" t="s">
        <v>693</v>
      </c>
      <c r="C196" s="93"/>
      <c r="D196" s="21"/>
      <c r="E196" s="21"/>
      <c r="F196" s="21">
        <f t="shared" si="20"/>
        <v>0</v>
      </c>
      <c r="G196" s="21"/>
      <c r="H196" s="21"/>
    </row>
    <row r="197" s="4" customFormat="1" ht="14.25" hidden="1" spans="1:11">
      <c r="A197" s="23"/>
      <c r="B197" s="45" t="s">
        <v>387</v>
      </c>
      <c r="C197" s="46"/>
      <c r="D197" s="24">
        <f>D184+D186</f>
        <v>0</v>
      </c>
      <c r="E197" s="24"/>
      <c r="F197" s="24">
        <f>SUM(F170:F196)</f>
        <v>0</v>
      </c>
      <c r="G197" s="24">
        <f t="shared" ref="G197:H197" si="22">SUM(G170:G196)</f>
        <v>0</v>
      </c>
      <c r="H197" s="24">
        <f t="shared" si="22"/>
        <v>0</v>
      </c>
      <c r="I197" s="44"/>
      <c r="J197" s="44"/>
      <c r="K197" s="44"/>
    </row>
    <row r="198" hidden="1"/>
    <row r="199" s="5" customFormat="1" ht="14.25" hidden="1" spans="1:11">
      <c r="A199" s="5" t="s">
        <v>527</v>
      </c>
      <c r="B199" s="15"/>
      <c r="C199" s="15"/>
      <c r="D199" s="15"/>
      <c r="E199" s="15"/>
      <c r="F199" s="15"/>
      <c r="G199" s="15"/>
      <c r="H199" s="15"/>
      <c r="I199" s="15"/>
      <c r="J199" s="15"/>
      <c r="K199" s="15"/>
    </row>
    <row r="200" hidden="1"/>
    <row r="201" ht="24" hidden="1" spans="1:8">
      <c r="A201" s="25" t="s">
        <v>389</v>
      </c>
      <c r="B201" s="27" t="s">
        <v>416</v>
      </c>
      <c r="C201" s="29"/>
      <c r="D201" s="18" t="s">
        <v>462</v>
      </c>
      <c r="E201" s="18" t="s">
        <v>467</v>
      </c>
      <c r="F201" s="18" t="s">
        <v>410</v>
      </c>
      <c r="G201" s="18" t="s">
        <v>411</v>
      </c>
      <c r="H201" s="18" t="s">
        <v>412</v>
      </c>
    </row>
    <row r="202" hidden="1" spans="1:8">
      <c r="A202" s="19">
        <v>1</v>
      </c>
      <c r="B202" s="30">
        <v>2</v>
      </c>
      <c r="C202" s="32"/>
      <c r="D202" s="19">
        <v>3</v>
      </c>
      <c r="E202" s="19">
        <v>4</v>
      </c>
      <c r="F202" s="19">
        <v>5</v>
      </c>
      <c r="G202" s="19">
        <v>6</v>
      </c>
      <c r="H202" s="19">
        <v>7</v>
      </c>
    </row>
    <row r="203" hidden="1" spans="1:8">
      <c r="A203" s="20">
        <v>1</v>
      </c>
      <c r="B203" s="30"/>
      <c r="C203" s="32"/>
      <c r="D203" s="21"/>
      <c r="E203" s="21"/>
      <c r="F203" s="21">
        <f>D203*E203</f>
        <v>0</v>
      </c>
      <c r="G203" s="21"/>
      <c r="H203" s="21"/>
    </row>
    <row r="204" hidden="1" spans="1:8">
      <c r="A204" s="37"/>
      <c r="B204" s="86"/>
      <c r="C204" s="87"/>
      <c r="D204" s="87"/>
      <c r="E204" s="21"/>
      <c r="F204" s="21">
        <f t="shared" ref="F204:F224" si="23">D204*E204</f>
        <v>0</v>
      </c>
      <c r="G204" s="21"/>
      <c r="H204" s="21"/>
    </row>
    <row r="205" hidden="1" spans="1:8">
      <c r="A205" s="37"/>
      <c r="B205" s="88"/>
      <c r="C205" s="87"/>
      <c r="D205" s="87"/>
      <c r="E205" s="21"/>
      <c r="F205" s="21">
        <f t="shared" si="23"/>
        <v>0</v>
      </c>
      <c r="G205" s="21"/>
      <c r="H205" s="21"/>
    </row>
    <row r="206" hidden="1" spans="1:8">
      <c r="A206" s="37"/>
      <c r="B206" s="86"/>
      <c r="C206" s="87"/>
      <c r="D206" s="87"/>
      <c r="E206" s="21"/>
      <c r="F206" s="21">
        <f t="shared" si="23"/>
        <v>0</v>
      </c>
      <c r="G206" s="21"/>
      <c r="H206" s="21"/>
    </row>
    <row r="207" hidden="1" spans="1:8">
      <c r="A207" s="37"/>
      <c r="B207" s="86"/>
      <c r="C207" s="87"/>
      <c r="D207" s="87"/>
      <c r="E207" s="21"/>
      <c r="F207" s="21">
        <f t="shared" si="23"/>
        <v>0</v>
      </c>
      <c r="G207" s="21"/>
      <c r="H207" s="21"/>
    </row>
    <row r="208" hidden="1" spans="1:8">
      <c r="A208" s="37"/>
      <c r="B208" s="86"/>
      <c r="C208" s="87"/>
      <c r="D208" s="87"/>
      <c r="E208" s="21"/>
      <c r="F208" s="21">
        <f t="shared" si="23"/>
        <v>0</v>
      </c>
      <c r="G208" s="21"/>
      <c r="H208" s="21"/>
    </row>
    <row r="209" hidden="1" spans="1:8">
      <c r="A209" s="37"/>
      <c r="B209" s="30"/>
      <c r="C209" s="32"/>
      <c r="D209" s="57"/>
      <c r="E209" s="21"/>
      <c r="F209" s="21">
        <f t="shared" si="23"/>
        <v>0</v>
      </c>
      <c r="G209" s="21"/>
      <c r="H209" s="21"/>
    </row>
    <row r="210" hidden="1" spans="1:8">
      <c r="A210" s="37"/>
      <c r="B210" s="30"/>
      <c r="C210" s="32"/>
      <c r="D210" s="21"/>
      <c r="E210" s="21"/>
      <c r="F210" s="21">
        <f t="shared" si="23"/>
        <v>0</v>
      </c>
      <c r="G210" s="21"/>
      <c r="H210" s="21"/>
    </row>
    <row r="211" hidden="1" spans="1:8">
      <c r="A211" s="37"/>
      <c r="B211" s="30"/>
      <c r="C211" s="32"/>
      <c r="D211" s="21"/>
      <c r="E211" s="21"/>
      <c r="F211" s="21">
        <f t="shared" si="23"/>
        <v>0</v>
      </c>
      <c r="G211" s="21"/>
      <c r="H211" s="21"/>
    </row>
    <row r="212" hidden="1" spans="1:8">
      <c r="A212" s="37"/>
      <c r="B212" s="30"/>
      <c r="C212" s="32"/>
      <c r="D212" s="21"/>
      <c r="E212" s="21"/>
      <c r="F212" s="21">
        <f t="shared" si="23"/>
        <v>0</v>
      </c>
      <c r="G212" s="21"/>
      <c r="H212" s="21"/>
    </row>
    <row r="213" hidden="1" spans="1:8">
      <c r="A213" s="37"/>
      <c r="B213" s="30"/>
      <c r="C213" s="32"/>
      <c r="D213" s="21"/>
      <c r="E213" s="21"/>
      <c r="F213" s="21">
        <f t="shared" si="23"/>
        <v>0</v>
      </c>
      <c r="G213" s="21"/>
      <c r="H213" s="21"/>
    </row>
    <row r="214" hidden="1" spans="1:8">
      <c r="A214" s="37"/>
      <c r="B214" s="30"/>
      <c r="C214" s="32"/>
      <c r="D214" s="21"/>
      <c r="E214" s="21"/>
      <c r="F214" s="21">
        <f t="shared" si="23"/>
        <v>0</v>
      </c>
      <c r="G214" s="21"/>
      <c r="H214" s="21"/>
    </row>
    <row r="215" hidden="1" spans="1:8">
      <c r="A215" s="37"/>
      <c r="B215" s="30"/>
      <c r="C215" s="32"/>
      <c r="D215" s="21"/>
      <c r="E215" s="21"/>
      <c r="F215" s="21">
        <f t="shared" si="23"/>
        <v>0</v>
      </c>
      <c r="G215" s="21"/>
      <c r="H215" s="21"/>
    </row>
    <row r="216" hidden="1" spans="1:8">
      <c r="A216" s="37"/>
      <c r="B216" s="30"/>
      <c r="C216" s="32"/>
      <c r="D216" s="21"/>
      <c r="E216" s="21"/>
      <c r="F216" s="21">
        <f t="shared" si="23"/>
        <v>0</v>
      </c>
      <c r="G216" s="21"/>
      <c r="H216" s="21"/>
    </row>
    <row r="217" hidden="1" spans="1:8">
      <c r="A217" s="37"/>
      <c r="B217" s="30"/>
      <c r="C217" s="32"/>
      <c r="D217" s="21"/>
      <c r="E217" s="21"/>
      <c r="F217" s="21">
        <f t="shared" si="23"/>
        <v>0</v>
      </c>
      <c r="G217" s="21"/>
      <c r="H217" s="21"/>
    </row>
    <row r="218" hidden="1" spans="1:8">
      <c r="A218" s="37"/>
      <c r="B218" s="30"/>
      <c r="C218" s="32"/>
      <c r="D218" s="21"/>
      <c r="E218" s="21"/>
      <c r="F218" s="21">
        <f t="shared" si="23"/>
        <v>0</v>
      </c>
      <c r="G218" s="21"/>
      <c r="H218" s="21"/>
    </row>
    <row r="219" hidden="1" spans="1:8">
      <c r="A219" s="37"/>
      <c r="B219" s="30"/>
      <c r="C219" s="32"/>
      <c r="D219" s="21"/>
      <c r="E219" s="21"/>
      <c r="F219" s="21">
        <f t="shared" si="23"/>
        <v>0</v>
      </c>
      <c r="G219" s="21"/>
      <c r="H219" s="21"/>
    </row>
    <row r="220" hidden="1" spans="1:8">
      <c r="A220" s="37"/>
      <c r="B220" s="30"/>
      <c r="C220" s="32"/>
      <c r="D220" s="21"/>
      <c r="E220" s="21"/>
      <c r="F220" s="21">
        <f t="shared" si="23"/>
        <v>0</v>
      </c>
      <c r="G220" s="21"/>
      <c r="H220" s="21"/>
    </row>
    <row r="221" hidden="1" spans="1:8">
      <c r="A221" s="20"/>
      <c r="B221" s="30"/>
      <c r="C221" s="32"/>
      <c r="D221" s="21"/>
      <c r="E221" s="21"/>
      <c r="F221" s="21">
        <f t="shared" si="23"/>
        <v>0</v>
      </c>
      <c r="G221" s="21"/>
      <c r="H221" s="21"/>
    </row>
    <row r="222" hidden="1" spans="1:8">
      <c r="A222" s="20"/>
      <c r="B222" s="30"/>
      <c r="C222" s="32"/>
      <c r="D222" s="21"/>
      <c r="E222" s="21"/>
      <c r="F222" s="21">
        <f t="shared" si="23"/>
        <v>0</v>
      </c>
      <c r="G222" s="21"/>
      <c r="H222" s="21"/>
    </row>
    <row r="223" hidden="1" spans="1:8">
      <c r="A223" s="20"/>
      <c r="B223" s="30"/>
      <c r="C223" s="32"/>
      <c r="D223" s="21"/>
      <c r="E223" s="21"/>
      <c r="F223" s="21">
        <f t="shared" si="23"/>
        <v>0</v>
      </c>
      <c r="G223" s="21"/>
      <c r="H223" s="21"/>
    </row>
    <row r="224" hidden="1" spans="1:8">
      <c r="A224" s="20"/>
      <c r="B224" s="30"/>
      <c r="C224" s="32"/>
      <c r="D224" s="21"/>
      <c r="E224" s="21"/>
      <c r="F224" s="21">
        <f t="shared" si="23"/>
        <v>0</v>
      </c>
      <c r="G224" s="21"/>
      <c r="H224" s="21"/>
    </row>
    <row r="225" s="4" customFormat="1" ht="14.25" hidden="1" spans="1:11">
      <c r="A225" s="23"/>
      <c r="B225" s="45" t="s">
        <v>387</v>
      </c>
      <c r="C225" s="46"/>
      <c r="D225" s="24"/>
      <c r="E225" s="24"/>
      <c r="F225" s="24">
        <f>SUM(F203:F224)</f>
        <v>0</v>
      </c>
      <c r="G225" s="24">
        <f t="shared" ref="G225:H225" si="24">SUM(G203:G224)</f>
        <v>0</v>
      </c>
      <c r="H225" s="24">
        <f t="shared" si="24"/>
        <v>0</v>
      </c>
      <c r="I225" s="44"/>
      <c r="J225" s="44"/>
      <c r="K225" s="44"/>
    </row>
    <row r="226" ht="15.75"/>
    <row r="227" ht="15.75" spans="1:8">
      <c r="A227" s="65"/>
      <c r="B227" s="66" t="s">
        <v>554</v>
      </c>
      <c r="C227" s="67"/>
      <c r="D227" s="67"/>
      <c r="E227" s="68"/>
      <c r="F227" s="69">
        <f>F225+F197+F164+F138+G126+F114+G102+F89+F77+F65+F53+F40+I28</f>
        <v>350000</v>
      </c>
      <c r="G227" s="69">
        <f>G225+G197+G164+G138+H126+G114+H102+G89+G77+G65+G53+G40+J28</f>
        <v>0</v>
      </c>
      <c r="H227" s="69">
        <f>H225+H197+H164+H138+I126+H114+I102+H89+H77+H65+H53+H40+K28</f>
        <v>0</v>
      </c>
    </row>
    <row r="230" s="6" customFormat="1" ht="20.25" customHeight="1" spans="1:21">
      <c r="A230" s="6" t="s">
        <v>267</v>
      </c>
      <c r="D230" s="70" t="str">
        <f>закупки!AQ30</f>
        <v>Заведующий</v>
      </c>
      <c r="E230" s="71"/>
      <c r="F230" s="70"/>
      <c r="G230" s="71"/>
      <c r="H230" s="70" t="str">
        <f>закупки!BY30</f>
        <v>Измайлова Н.В.</v>
      </c>
      <c r="I230" s="70"/>
      <c r="J230" s="71"/>
      <c r="K230" s="71"/>
      <c r="L230" s="71"/>
      <c r="M230" s="71"/>
      <c r="N230" s="71"/>
      <c r="O230" s="71"/>
      <c r="P230" s="71"/>
      <c r="Q230" s="71"/>
      <c r="R230" s="71"/>
      <c r="S230" s="71"/>
      <c r="T230" s="71"/>
      <c r="U230" s="77"/>
    </row>
    <row r="231" s="6" customFormat="1" ht="20.25" customHeight="1" spans="1:21">
      <c r="A231" s="6" t="s">
        <v>268</v>
      </c>
      <c r="D231" s="72" t="s">
        <v>555</v>
      </c>
      <c r="E231" s="73"/>
      <c r="F231" s="72" t="s">
        <v>556</v>
      </c>
      <c r="G231" s="73"/>
      <c r="H231" s="74" t="s">
        <v>557</v>
      </c>
      <c r="I231" s="74"/>
      <c r="J231" s="73"/>
      <c r="K231" s="73"/>
      <c r="L231" s="73"/>
      <c r="M231" s="73"/>
      <c r="N231" s="73"/>
      <c r="O231" s="73"/>
      <c r="P231" s="73"/>
      <c r="Q231" s="73"/>
      <c r="R231" s="73"/>
      <c r="S231" s="73"/>
      <c r="T231" s="73"/>
      <c r="U231" s="77"/>
    </row>
    <row r="232" s="6" customFormat="1" spans="1:1">
      <c r="A232" s="75"/>
    </row>
    <row r="233" s="6" customFormat="1" spans="1:8">
      <c r="A233" s="75" t="s">
        <v>271</v>
      </c>
      <c r="B233" s="75"/>
      <c r="C233" s="70" t="str">
        <f>закупки!AM33</f>
        <v>Гл.бухгалтер</v>
      </c>
      <c r="D233" s="71"/>
      <c r="E233" s="70" t="str">
        <f>закупки!BG33</f>
        <v>Родионова Н.А.</v>
      </c>
      <c r="F233" s="71"/>
      <c r="G233" s="76" t="str">
        <f>закупки!CA33</f>
        <v>31-55-99</v>
      </c>
      <c r="H233" s="70"/>
    </row>
    <row r="234" s="6" customFormat="1" spans="3:8">
      <c r="C234" s="72" t="s">
        <v>558</v>
      </c>
      <c r="D234" s="73"/>
      <c r="E234" s="74" t="s">
        <v>275</v>
      </c>
      <c r="F234" s="73"/>
      <c r="G234" s="74" t="s">
        <v>276</v>
      </c>
      <c r="H234" s="74"/>
    </row>
    <row r="235" s="6" customFormat="1"/>
    <row r="236" s="6" customFormat="1"/>
    <row r="237" s="6" customFormat="1"/>
    <row r="238" s="6" customFormat="1"/>
    <row r="239" s="6" customFormat="1" customHeight="1" spans="1:5">
      <c r="A239" s="75" t="s">
        <v>559</v>
      </c>
      <c r="B239" s="75"/>
      <c r="C239" s="75"/>
      <c r="D239" s="75"/>
      <c r="E239" s="75"/>
    </row>
  </sheetData>
  <mergeCells count="139">
    <mergeCell ref="H1:I1"/>
    <mergeCell ref="E2:I2"/>
    <mergeCell ref="A3:K3"/>
    <mergeCell ref="A6:K6"/>
    <mergeCell ref="A8:B8"/>
    <mergeCell ref="A10:C10"/>
    <mergeCell ref="D15:G15"/>
    <mergeCell ref="A42:H42"/>
    <mergeCell ref="B44:D44"/>
    <mergeCell ref="B45:D45"/>
    <mergeCell ref="B46:D46"/>
    <mergeCell ref="B47:D47"/>
    <mergeCell ref="B48:D48"/>
    <mergeCell ref="B49:D49"/>
    <mergeCell ref="B50:D50"/>
    <mergeCell ref="B51:D51"/>
    <mergeCell ref="B52:D52"/>
    <mergeCell ref="B53:D53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A79:H79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4:C94"/>
    <mergeCell ref="B95:C95"/>
    <mergeCell ref="B96:C96"/>
    <mergeCell ref="B97:C97"/>
    <mergeCell ref="B100:C100"/>
    <mergeCell ref="B101:C101"/>
    <mergeCell ref="B102:C102"/>
    <mergeCell ref="B106:C106"/>
    <mergeCell ref="B107:C107"/>
    <mergeCell ref="B108:C108"/>
    <mergeCell ref="B109:C109"/>
    <mergeCell ref="B110:C110"/>
    <mergeCell ref="B111:C111"/>
    <mergeCell ref="B112:C112"/>
    <mergeCell ref="B113:C113"/>
    <mergeCell ref="B114:C114"/>
    <mergeCell ref="B118:C118"/>
    <mergeCell ref="B119:C119"/>
    <mergeCell ref="B120:C120"/>
    <mergeCell ref="B121:C121"/>
    <mergeCell ref="B122:C122"/>
    <mergeCell ref="B123:C123"/>
    <mergeCell ref="B124:C124"/>
    <mergeCell ref="B125:C125"/>
    <mergeCell ref="B126:C126"/>
    <mergeCell ref="B130:C130"/>
    <mergeCell ref="B131:C131"/>
    <mergeCell ref="B132:C132"/>
    <mergeCell ref="B133:C133"/>
    <mergeCell ref="B134:C134"/>
    <mergeCell ref="B135:C135"/>
    <mergeCell ref="B136:C136"/>
    <mergeCell ref="B137:C137"/>
    <mergeCell ref="B138:C138"/>
    <mergeCell ref="B142:C142"/>
    <mergeCell ref="B143:C143"/>
    <mergeCell ref="B144:C144"/>
    <mergeCell ref="B145:C145"/>
    <mergeCell ref="B146:C146"/>
    <mergeCell ref="B147:C147"/>
    <mergeCell ref="B148:C148"/>
    <mergeCell ref="B149:C149"/>
    <mergeCell ref="B150:C150"/>
    <mergeCell ref="B160:C160"/>
    <mergeCell ref="B161:C161"/>
    <mergeCell ref="B162:C162"/>
    <mergeCell ref="B163:C163"/>
    <mergeCell ref="B164:C164"/>
    <mergeCell ref="B168:C168"/>
    <mergeCell ref="B169:C169"/>
    <mergeCell ref="B170:C170"/>
    <mergeCell ref="B171:C171"/>
    <mergeCell ref="B172:C172"/>
    <mergeCell ref="B173:C173"/>
    <mergeCell ref="B174:C174"/>
    <mergeCell ref="B175:C175"/>
    <mergeCell ref="B176:C176"/>
    <mergeCell ref="B177:C177"/>
    <mergeCell ref="B178:C178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B194:C194"/>
    <mergeCell ref="B195:C195"/>
    <mergeCell ref="B196:C196"/>
    <mergeCell ref="B197:C197"/>
    <mergeCell ref="B201:C201"/>
    <mergeCell ref="B202:C202"/>
    <mergeCell ref="B203:C203"/>
    <mergeCell ref="B221:C221"/>
    <mergeCell ref="B222:C222"/>
    <mergeCell ref="B223:C223"/>
    <mergeCell ref="B224:C224"/>
    <mergeCell ref="B225:C225"/>
    <mergeCell ref="B227:E227"/>
    <mergeCell ref="A230:C230"/>
    <mergeCell ref="A231:C231"/>
    <mergeCell ref="A233:B233"/>
    <mergeCell ref="G234:H234"/>
    <mergeCell ref="A239:E239"/>
    <mergeCell ref="A15:A17"/>
    <mergeCell ref="B15:B17"/>
    <mergeCell ref="C15:C17"/>
    <mergeCell ref="D16:D17"/>
    <mergeCell ref="H15:H17"/>
    <mergeCell ref="I15:I17"/>
    <mergeCell ref="J15:J17"/>
    <mergeCell ref="K15:K17"/>
  </mergeCells>
  <pageMargins left="0.7" right="0.7" top="0.75" bottom="0.75" header="0.3" footer="0.3"/>
  <pageSetup paperSize="9" scale="62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237"/>
  <sheetViews>
    <sheetView topLeftCell="A81" workbookViewId="0">
      <selection activeCell="A237" sqref="A237:E237"/>
    </sheetView>
  </sheetViews>
  <sheetFormatPr defaultColWidth="9.14285714285714" defaultRowHeight="15"/>
  <cols>
    <col min="1" max="1" width="8.85714285714286" style="7" customWidth="1"/>
    <col min="2" max="2" width="17.7142857142857" style="8" customWidth="1"/>
    <col min="3" max="3" width="14.2857142857143" style="8" customWidth="1"/>
    <col min="4" max="5" width="14" style="8" customWidth="1"/>
    <col min="6" max="6" width="16" style="8" customWidth="1"/>
    <col min="7" max="7" width="14.5714285714286" style="8" customWidth="1"/>
    <col min="8" max="8" width="13.7142857142857" style="8" customWidth="1"/>
    <col min="9" max="9" width="15.2857142857143" style="8" customWidth="1"/>
    <col min="10" max="10" width="14.5714285714286" style="8" customWidth="1"/>
    <col min="11" max="11" width="14.1428571428571" style="8" customWidth="1"/>
    <col min="12" max="12" width="17.7142857142857" style="7" customWidth="1"/>
    <col min="13" max="16384" width="9.14285714285714" style="7"/>
  </cols>
  <sheetData>
    <row r="1" hidden="1" spans="9:11">
      <c r="I1" s="6"/>
      <c r="J1" s="40" t="s">
        <v>362</v>
      </c>
      <c r="K1" s="40"/>
    </row>
    <row r="2" hidden="1" spans="9:11">
      <c r="I2" s="41" t="s">
        <v>285</v>
      </c>
      <c r="J2" s="41"/>
      <c r="K2" s="41"/>
    </row>
    <row r="3" ht="15.75" spans="1:11">
      <c r="A3" s="89" t="s">
        <v>694</v>
      </c>
      <c r="B3" s="89"/>
      <c r="C3" s="89"/>
      <c r="D3" s="89"/>
      <c r="E3" s="89"/>
      <c r="F3" s="89"/>
      <c r="G3" s="89"/>
      <c r="H3" s="89"/>
      <c r="I3" s="89"/>
      <c r="J3" s="89"/>
      <c r="K3" s="89"/>
    </row>
    <row r="4" spans="1:1">
      <c r="A4" s="5" t="s">
        <v>695</v>
      </c>
    </row>
    <row r="6" spans="1:11">
      <c r="A6" s="10" t="s">
        <v>364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8" spans="1:3">
      <c r="A8" s="11" t="s">
        <v>365</v>
      </c>
      <c r="B8" s="11"/>
      <c r="C8" s="12">
        <v>9940090300</v>
      </c>
    </row>
    <row r="10" spans="1:4">
      <c r="A10" s="11" t="s">
        <v>366</v>
      </c>
      <c r="B10" s="11"/>
      <c r="C10" s="11"/>
      <c r="D10" s="13" t="s">
        <v>367</v>
      </c>
    </row>
    <row r="11" spans="1:3">
      <c r="A11" s="11"/>
      <c r="B11" s="11"/>
      <c r="C11" s="11"/>
    </row>
    <row r="12" hidden="1" spans="1:4">
      <c r="A12" s="14" t="s">
        <v>368</v>
      </c>
      <c r="B12" s="15"/>
      <c r="C12" s="15"/>
      <c r="D12" s="15"/>
    </row>
    <row r="13" hidden="1" spans="1:4">
      <c r="A13" s="14" t="s">
        <v>369</v>
      </c>
      <c r="B13" s="15"/>
      <c r="C13" s="15"/>
      <c r="D13" s="15"/>
    </row>
    <row r="14" hidden="1"/>
    <row r="15" s="1" customFormat="1" ht="12" hidden="1" spans="1:11">
      <c r="A15" s="16"/>
      <c r="B15" s="17" t="s">
        <v>370</v>
      </c>
      <c r="C15" s="17" t="s">
        <v>371</v>
      </c>
      <c r="D15" s="17" t="s">
        <v>372</v>
      </c>
      <c r="E15" s="17"/>
      <c r="F15" s="17"/>
      <c r="G15" s="17"/>
      <c r="H15" s="17" t="s">
        <v>373</v>
      </c>
      <c r="I15" s="17" t="s">
        <v>374</v>
      </c>
      <c r="J15" s="17" t="s">
        <v>375</v>
      </c>
      <c r="K15" s="17" t="s">
        <v>376</v>
      </c>
    </row>
    <row r="16" s="1" customFormat="1" ht="12" hidden="1" spans="1:11">
      <c r="A16" s="16"/>
      <c r="B16" s="17"/>
      <c r="C16" s="17"/>
      <c r="D16" s="16" t="s">
        <v>377</v>
      </c>
      <c r="E16" s="16" t="s">
        <v>54</v>
      </c>
      <c r="F16" s="16"/>
      <c r="G16" s="16"/>
      <c r="H16" s="17"/>
      <c r="I16" s="17"/>
      <c r="J16" s="17"/>
      <c r="K16" s="17"/>
    </row>
    <row r="17" s="2" customFormat="1" ht="36" hidden="1" spans="1:11">
      <c r="A17" s="16"/>
      <c r="B17" s="17"/>
      <c r="C17" s="17"/>
      <c r="D17" s="16"/>
      <c r="E17" s="18" t="s">
        <v>378</v>
      </c>
      <c r="F17" s="18" t="s">
        <v>379</v>
      </c>
      <c r="G17" s="18" t="s">
        <v>380</v>
      </c>
      <c r="H17" s="17"/>
      <c r="I17" s="17"/>
      <c r="J17" s="17"/>
      <c r="K17" s="17"/>
    </row>
    <row r="18" s="3" customFormat="1" hidden="1" spans="1:11">
      <c r="A18" s="19">
        <v>1</v>
      </c>
      <c r="B18" s="19">
        <v>2</v>
      </c>
      <c r="C18" s="19">
        <v>3</v>
      </c>
      <c r="D18" s="19">
        <v>4</v>
      </c>
      <c r="E18" s="19">
        <v>5</v>
      </c>
      <c r="F18" s="19">
        <v>6</v>
      </c>
      <c r="G18" s="19">
        <v>7</v>
      </c>
      <c r="H18" s="19">
        <v>8</v>
      </c>
      <c r="I18" s="19">
        <v>9</v>
      </c>
      <c r="J18" s="19">
        <v>10</v>
      </c>
      <c r="K18" s="19">
        <v>11</v>
      </c>
    </row>
    <row r="19" s="3" customFormat="1" hidden="1" spans="1:11">
      <c r="A19" s="19"/>
      <c r="B19" s="19" t="s">
        <v>381</v>
      </c>
      <c r="C19" s="19"/>
      <c r="D19" s="19"/>
      <c r="E19" s="19"/>
      <c r="F19" s="19"/>
      <c r="G19" s="19"/>
      <c r="H19" s="19"/>
      <c r="I19" s="19"/>
      <c r="J19" s="19"/>
      <c r="K19" s="19"/>
    </row>
    <row r="20" ht="24" hidden="1" spans="1:11">
      <c r="A20" s="20">
        <v>1</v>
      </c>
      <c r="B20" s="18" t="s">
        <v>382</v>
      </c>
      <c r="C20" s="21"/>
      <c r="D20" s="21">
        <f>E20+F20+G20</f>
        <v>0</v>
      </c>
      <c r="E20" s="21"/>
      <c r="F20" s="21"/>
      <c r="G20" s="21"/>
      <c r="H20" s="21"/>
      <c r="I20" s="21">
        <f>C20*D20+H20</f>
        <v>0</v>
      </c>
      <c r="J20" s="21"/>
      <c r="K20" s="21"/>
    </row>
    <row r="21" hidden="1" spans="1:11">
      <c r="A21" s="20">
        <v>2</v>
      </c>
      <c r="B21" s="18" t="s">
        <v>383</v>
      </c>
      <c r="C21" s="21"/>
      <c r="D21" s="21">
        <f t="shared" ref="D21:D23" si="0">E21+F21+G21</f>
        <v>0</v>
      </c>
      <c r="E21" s="21"/>
      <c r="F21" s="21"/>
      <c r="G21" s="21"/>
      <c r="H21" s="21"/>
      <c r="I21" s="21">
        <f t="shared" ref="I21:I23" si="1">C21*D21+H21</f>
        <v>0</v>
      </c>
      <c r="J21" s="21"/>
      <c r="K21" s="21"/>
    </row>
    <row r="22" hidden="1" spans="1:11">
      <c r="A22" s="20">
        <v>3</v>
      </c>
      <c r="B22" s="18" t="s">
        <v>384</v>
      </c>
      <c r="C22" s="21"/>
      <c r="D22" s="21">
        <f t="shared" si="0"/>
        <v>0</v>
      </c>
      <c r="E22" s="21"/>
      <c r="F22" s="21"/>
      <c r="G22" s="21"/>
      <c r="H22" s="21"/>
      <c r="I22" s="36">
        <f>ROUND((C22*D22+H22)*7,0)</f>
        <v>0</v>
      </c>
      <c r="J22" s="36"/>
      <c r="K22" s="42"/>
    </row>
    <row r="23" hidden="1" spans="1:11">
      <c r="A23" s="19"/>
      <c r="B23" s="19"/>
      <c r="C23" s="19"/>
      <c r="D23" s="21">
        <f t="shared" si="0"/>
        <v>0</v>
      </c>
      <c r="E23" s="21"/>
      <c r="F23" s="21"/>
      <c r="G23" s="21"/>
      <c r="H23" s="21"/>
      <c r="I23" s="36">
        <f t="shared" si="1"/>
        <v>0</v>
      </c>
      <c r="J23" s="36"/>
      <c r="K23" s="36"/>
    </row>
    <row r="24" s="3" customFormat="1" hidden="1" spans="1:11">
      <c r="A24" s="19"/>
      <c r="B24" s="19" t="s">
        <v>572</v>
      </c>
      <c r="C24" s="19"/>
      <c r="D24" s="19"/>
      <c r="E24" s="19"/>
      <c r="F24" s="19"/>
      <c r="G24" s="19"/>
      <c r="H24" s="19"/>
      <c r="I24" s="19"/>
      <c r="J24" s="19"/>
      <c r="K24" s="19"/>
    </row>
    <row r="25" ht="24" hidden="1" spans="1:11">
      <c r="A25" s="20">
        <v>1</v>
      </c>
      <c r="B25" s="18" t="s">
        <v>382</v>
      </c>
      <c r="C25" s="21"/>
      <c r="D25" s="21">
        <f>E25+F25+G25</f>
        <v>0</v>
      </c>
      <c r="E25" s="21"/>
      <c r="F25" s="21"/>
      <c r="G25" s="21"/>
      <c r="H25" s="21"/>
      <c r="I25" s="21">
        <f>C25*D25+H25</f>
        <v>0</v>
      </c>
      <c r="J25" s="21"/>
      <c r="K25" s="21"/>
    </row>
    <row r="26" hidden="1" spans="1:11">
      <c r="A26" s="20">
        <v>2</v>
      </c>
      <c r="B26" s="18" t="s">
        <v>383</v>
      </c>
      <c r="C26" s="21"/>
      <c r="D26" s="21">
        <f t="shared" ref="D26:D27" si="2">E26+F26+G26</f>
        <v>0</v>
      </c>
      <c r="E26" s="21"/>
      <c r="F26" s="21"/>
      <c r="G26" s="21"/>
      <c r="H26" s="21"/>
      <c r="I26" s="21">
        <f t="shared" ref="I26" si="3">C26*D26+H26</f>
        <v>0</v>
      </c>
      <c r="J26" s="21"/>
      <c r="K26" s="21"/>
    </row>
    <row r="27" hidden="1" spans="1:11">
      <c r="A27" s="20">
        <v>3</v>
      </c>
      <c r="B27" s="18" t="s">
        <v>384</v>
      </c>
      <c r="C27" s="21"/>
      <c r="D27" s="21">
        <f t="shared" si="2"/>
        <v>0</v>
      </c>
      <c r="E27" s="21"/>
      <c r="F27" s="21"/>
      <c r="G27" s="21"/>
      <c r="H27" s="21"/>
      <c r="I27" s="36">
        <f>ROUND((C27*D27+H27)*1,0)</f>
        <v>0</v>
      </c>
      <c r="J27" s="36"/>
      <c r="K27" s="42"/>
    </row>
    <row r="28" s="4" customFormat="1" ht="14.25" hidden="1" spans="1:11">
      <c r="A28" s="23" t="s">
        <v>387</v>
      </c>
      <c r="B28" s="24"/>
      <c r="C28" s="24"/>
      <c r="D28" s="24"/>
      <c r="E28" s="24"/>
      <c r="F28" s="24"/>
      <c r="G28" s="24"/>
      <c r="H28" s="24"/>
      <c r="I28" s="39">
        <f>SUM(I20:I27)</f>
        <v>0</v>
      </c>
      <c r="J28" s="39">
        <f>SUM(J20:J27)</f>
        <v>0</v>
      </c>
      <c r="K28" s="39">
        <f>SUM(K20:K27)</f>
        <v>0</v>
      </c>
    </row>
    <row r="29" hidden="1"/>
    <row r="30" s="5" customFormat="1" ht="14.25" hidden="1" spans="1:11">
      <c r="A30" s="5" t="s">
        <v>388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</row>
    <row r="31" hidden="1"/>
    <row r="32" s="1" customFormat="1" ht="48" hidden="1" spans="1:11">
      <c r="A32" s="25" t="s">
        <v>389</v>
      </c>
      <c r="B32" s="18" t="s">
        <v>390</v>
      </c>
      <c r="C32" s="18" t="s">
        <v>391</v>
      </c>
      <c r="D32" s="18" t="s">
        <v>392</v>
      </c>
      <c r="E32" s="18" t="s">
        <v>393</v>
      </c>
      <c r="F32" s="18" t="s">
        <v>394</v>
      </c>
      <c r="G32" s="18" t="s">
        <v>394</v>
      </c>
      <c r="H32" s="18" t="s">
        <v>394</v>
      </c>
      <c r="I32" s="43"/>
      <c r="J32" s="43"/>
      <c r="K32" s="43"/>
    </row>
    <row r="33" s="3" customFormat="1" hidden="1" spans="1:8">
      <c r="A33" s="19">
        <v>1</v>
      </c>
      <c r="B33" s="19">
        <v>2</v>
      </c>
      <c r="C33" s="19">
        <v>3</v>
      </c>
      <c r="D33" s="19">
        <v>4</v>
      </c>
      <c r="E33" s="19">
        <v>5</v>
      </c>
      <c r="F33" s="19">
        <v>6</v>
      </c>
      <c r="G33" s="19">
        <v>7</v>
      </c>
      <c r="H33" s="19">
        <v>8</v>
      </c>
    </row>
    <row r="34" hidden="1" spans="1:8">
      <c r="A34" s="20"/>
      <c r="B34" s="21"/>
      <c r="C34" s="21"/>
      <c r="D34" s="21"/>
      <c r="E34" s="21"/>
      <c r="F34" s="21"/>
      <c r="G34" s="21"/>
      <c r="H34" s="21"/>
    </row>
    <row r="35" hidden="1" spans="1:8">
      <c r="A35" s="20"/>
      <c r="B35" s="21"/>
      <c r="C35" s="21"/>
      <c r="D35" s="21"/>
      <c r="E35" s="21"/>
      <c r="F35" s="21"/>
      <c r="G35" s="21"/>
      <c r="H35" s="21"/>
    </row>
    <row r="36" hidden="1" spans="1:8">
      <c r="A36" s="20"/>
      <c r="B36" s="21"/>
      <c r="C36" s="21"/>
      <c r="D36" s="21"/>
      <c r="E36" s="21"/>
      <c r="F36" s="21"/>
      <c r="G36" s="21"/>
      <c r="H36" s="21"/>
    </row>
    <row r="37" hidden="1" spans="1:8">
      <c r="A37" s="20"/>
      <c r="B37" s="21"/>
      <c r="C37" s="21"/>
      <c r="D37" s="21"/>
      <c r="E37" s="21"/>
      <c r="F37" s="21"/>
      <c r="G37" s="21"/>
      <c r="H37" s="21"/>
    </row>
    <row r="38" hidden="1" spans="1:8">
      <c r="A38" s="20"/>
      <c r="B38" s="21"/>
      <c r="C38" s="21"/>
      <c r="D38" s="21"/>
      <c r="E38" s="21"/>
      <c r="F38" s="21"/>
      <c r="G38" s="21"/>
      <c r="H38" s="21"/>
    </row>
    <row r="39" hidden="1" spans="1:8">
      <c r="A39" s="20"/>
      <c r="B39" s="21"/>
      <c r="C39" s="21"/>
      <c r="D39" s="21"/>
      <c r="E39" s="21"/>
      <c r="F39" s="21"/>
      <c r="G39" s="21"/>
      <c r="H39" s="21"/>
    </row>
    <row r="40" hidden="1" spans="1:8">
      <c r="A40" s="20"/>
      <c r="B40" s="21"/>
      <c r="C40" s="21"/>
      <c r="D40" s="21"/>
      <c r="E40" s="21"/>
      <c r="F40" s="21"/>
      <c r="G40" s="21"/>
      <c r="H40" s="21"/>
    </row>
    <row r="41" hidden="1"/>
    <row r="42" hidden="1" spans="1:8">
      <c r="A42" s="26" t="s">
        <v>395</v>
      </c>
      <c r="B42" s="26"/>
      <c r="C42" s="26"/>
      <c r="D42" s="26"/>
      <c r="E42" s="26"/>
      <c r="F42" s="26"/>
      <c r="G42" s="26"/>
      <c r="H42" s="26"/>
    </row>
    <row r="43" hidden="1"/>
    <row r="44" ht="48" hidden="1" spans="1:8">
      <c r="A44" s="25" t="s">
        <v>389</v>
      </c>
      <c r="B44" s="27" t="s">
        <v>396</v>
      </c>
      <c r="C44" s="28"/>
      <c r="D44" s="29"/>
      <c r="E44" s="18" t="s">
        <v>397</v>
      </c>
      <c r="F44" s="18" t="s">
        <v>398</v>
      </c>
      <c r="G44" s="18" t="s">
        <v>399</v>
      </c>
      <c r="H44" s="18" t="s">
        <v>400</v>
      </c>
    </row>
    <row r="45" hidden="1" spans="1:8">
      <c r="A45" s="19">
        <v>1</v>
      </c>
      <c r="B45" s="30">
        <v>2</v>
      </c>
      <c r="C45" s="31"/>
      <c r="D45" s="32"/>
      <c r="E45" s="19">
        <v>3</v>
      </c>
      <c r="F45" s="19">
        <v>4</v>
      </c>
      <c r="G45" s="19">
        <v>5</v>
      </c>
      <c r="H45" s="19">
        <v>6</v>
      </c>
    </row>
    <row r="46" hidden="1" spans="1:8">
      <c r="A46" s="20">
        <v>1</v>
      </c>
      <c r="B46" s="33" t="s">
        <v>401</v>
      </c>
      <c r="C46" s="34"/>
      <c r="D46" s="35"/>
      <c r="E46" s="36"/>
      <c r="F46" s="36">
        <f>F48</f>
        <v>0</v>
      </c>
      <c r="G46" s="36">
        <f t="shared" ref="G46:H46" si="4">G48</f>
        <v>0</v>
      </c>
      <c r="H46" s="36">
        <f t="shared" si="4"/>
        <v>0</v>
      </c>
    </row>
    <row r="47" hidden="1" spans="1:8">
      <c r="A47" s="20"/>
      <c r="B47" s="33" t="s">
        <v>54</v>
      </c>
      <c r="C47" s="34"/>
      <c r="D47" s="35"/>
      <c r="E47" s="36"/>
      <c r="F47" s="36"/>
      <c r="G47" s="36"/>
      <c r="H47" s="36"/>
    </row>
    <row r="48" hidden="1" spans="1:8">
      <c r="A48" s="37"/>
      <c r="B48" s="33" t="s">
        <v>402</v>
      </c>
      <c r="C48" s="34"/>
      <c r="D48" s="35"/>
      <c r="E48" s="36">
        <f>I22+I27</f>
        <v>0</v>
      </c>
      <c r="F48" s="36">
        <f>ROUND(E48*0.22,0)</f>
        <v>0</v>
      </c>
      <c r="G48" s="36">
        <f>ROUND(J28*0.22,0)</f>
        <v>0</v>
      </c>
      <c r="H48" s="36">
        <f>ROUND(K28*0.22,0)</f>
        <v>0</v>
      </c>
    </row>
    <row r="49" hidden="1" spans="1:8">
      <c r="A49" s="20">
        <v>2</v>
      </c>
      <c r="B49" s="33" t="s">
        <v>403</v>
      </c>
      <c r="C49" s="34"/>
      <c r="D49" s="35"/>
      <c r="E49" s="36"/>
      <c r="F49" s="36">
        <f>F50+F51</f>
        <v>0</v>
      </c>
      <c r="G49" s="36">
        <f t="shared" ref="G49:H49" si="5">G50+G51</f>
        <v>0</v>
      </c>
      <c r="H49" s="36">
        <f t="shared" si="5"/>
        <v>0</v>
      </c>
    </row>
    <row r="50" hidden="1" spans="1:8">
      <c r="A50" s="20"/>
      <c r="B50" s="33" t="s">
        <v>404</v>
      </c>
      <c r="C50" s="34"/>
      <c r="D50" s="35"/>
      <c r="E50" s="36">
        <f>E48</f>
        <v>0</v>
      </c>
      <c r="F50" s="36">
        <f>ROUND(E50*0.029,0)</f>
        <v>0</v>
      </c>
      <c r="G50" s="36">
        <f>ROUND(J28*0.029,0)</f>
        <v>0</v>
      </c>
      <c r="H50" s="36">
        <f>ROUND(K28*0.029,0)</f>
        <v>0</v>
      </c>
    </row>
    <row r="51" hidden="1" spans="1:8">
      <c r="A51" s="20"/>
      <c r="B51" s="33" t="s">
        <v>405</v>
      </c>
      <c r="C51" s="34"/>
      <c r="D51" s="35"/>
      <c r="E51" s="36">
        <f>E50</f>
        <v>0</v>
      </c>
      <c r="F51" s="36">
        <f>ROUND(E51*0.002,0)</f>
        <v>0</v>
      </c>
      <c r="G51" s="36">
        <f>ROUND(J28*0.002,0)</f>
        <v>0</v>
      </c>
      <c r="H51" s="36">
        <f>ROUND(K28*0.002,0)</f>
        <v>0</v>
      </c>
    </row>
    <row r="52" hidden="1" spans="1:8">
      <c r="A52" s="20">
        <v>3</v>
      </c>
      <c r="B52" s="33" t="s">
        <v>406</v>
      </c>
      <c r="C52" s="34"/>
      <c r="D52" s="35"/>
      <c r="E52" s="36">
        <f>E51</f>
        <v>0</v>
      </c>
      <c r="F52" s="36">
        <f>ROUND(E52*0.051,0)</f>
        <v>0</v>
      </c>
      <c r="G52" s="36">
        <f>ROUND(J28*0.051,0)</f>
        <v>0</v>
      </c>
      <c r="H52" s="36">
        <f>ROUND(K28*0.051,0)</f>
        <v>0</v>
      </c>
    </row>
    <row r="53" s="4" customFormat="1" ht="14.25" hidden="1" spans="1:11">
      <c r="A53" s="23"/>
      <c r="B53" s="38" t="s">
        <v>387</v>
      </c>
      <c r="C53" s="38"/>
      <c r="D53" s="38"/>
      <c r="E53" s="39"/>
      <c r="F53" s="39">
        <f>F46+F49+F52</f>
        <v>0</v>
      </c>
      <c r="G53" s="39">
        <f t="shared" ref="G53:H53" si="6">G46+G49+G52</f>
        <v>0</v>
      </c>
      <c r="H53" s="39">
        <f t="shared" si="6"/>
        <v>0</v>
      </c>
      <c r="I53" s="44"/>
      <c r="J53" s="44"/>
      <c r="K53" s="44"/>
    </row>
    <row r="54" hidden="1"/>
    <row r="55" s="5" customFormat="1" ht="14.25" hidden="1" spans="1:11">
      <c r="A55" s="5" t="s">
        <v>407</v>
      </c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hidden="1"/>
    <row r="57" ht="24" hidden="1" spans="1:8">
      <c r="A57" s="25" t="s">
        <v>389</v>
      </c>
      <c r="B57" s="27" t="s">
        <v>24</v>
      </c>
      <c r="C57" s="29"/>
      <c r="D57" s="18" t="s">
        <v>408</v>
      </c>
      <c r="E57" s="18" t="s">
        <v>409</v>
      </c>
      <c r="F57" s="18" t="s">
        <v>410</v>
      </c>
      <c r="G57" s="18" t="s">
        <v>411</v>
      </c>
      <c r="H57" s="18" t="s">
        <v>412</v>
      </c>
    </row>
    <row r="58" hidden="1" spans="1:8">
      <c r="A58" s="19">
        <v>1</v>
      </c>
      <c r="B58" s="30">
        <v>2</v>
      </c>
      <c r="C58" s="32"/>
      <c r="D58" s="19">
        <v>3</v>
      </c>
      <c r="E58" s="19">
        <v>4</v>
      </c>
      <c r="F58" s="19">
        <v>5</v>
      </c>
      <c r="G58" s="19">
        <v>6</v>
      </c>
      <c r="H58" s="19">
        <v>7</v>
      </c>
    </row>
    <row r="59" hidden="1" spans="1:8">
      <c r="A59" s="20">
        <v>1</v>
      </c>
      <c r="B59" s="30" t="s">
        <v>413</v>
      </c>
      <c r="C59" s="32"/>
      <c r="D59" s="21"/>
      <c r="E59" s="21"/>
      <c r="F59" s="36">
        <f>D59*E59</f>
        <v>0</v>
      </c>
      <c r="G59" s="36"/>
      <c r="H59" s="36"/>
    </row>
    <row r="60" hidden="1" spans="1:8">
      <c r="A60" s="20">
        <v>2</v>
      </c>
      <c r="B60" s="30" t="s">
        <v>414</v>
      </c>
      <c r="C60" s="32"/>
      <c r="D60" s="21"/>
      <c r="E60" s="21"/>
      <c r="F60" s="36">
        <f t="shared" ref="F60:F64" si="7">D60*E60</f>
        <v>0</v>
      </c>
      <c r="G60" s="36"/>
      <c r="H60" s="36"/>
    </row>
    <row r="61" hidden="1" spans="1:8">
      <c r="A61" s="20">
        <v>1</v>
      </c>
      <c r="B61" s="78" t="s">
        <v>386</v>
      </c>
      <c r="C61" s="79"/>
      <c r="D61" s="21"/>
      <c r="E61" s="21"/>
      <c r="F61" s="36">
        <f t="shared" si="7"/>
        <v>0</v>
      </c>
      <c r="G61" s="36">
        <v>0</v>
      </c>
      <c r="H61" s="36">
        <v>0</v>
      </c>
    </row>
    <row r="62" hidden="1" spans="1:8">
      <c r="A62" s="20">
        <v>2</v>
      </c>
      <c r="B62" s="30" t="s">
        <v>574</v>
      </c>
      <c r="C62" s="32"/>
      <c r="D62" s="21"/>
      <c r="E62" s="21"/>
      <c r="F62" s="36">
        <f t="shared" si="7"/>
        <v>0</v>
      </c>
      <c r="G62" s="36">
        <v>0</v>
      </c>
      <c r="H62" s="36">
        <v>0</v>
      </c>
    </row>
    <row r="63" hidden="1" spans="1:8">
      <c r="A63" s="20">
        <v>3</v>
      </c>
      <c r="B63" s="30"/>
      <c r="C63" s="32"/>
      <c r="D63" s="21"/>
      <c r="E63" s="21"/>
      <c r="F63" s="36">
        <f t="shared" si="7"/>
        <v>0</v>
      </c>
      <c r="G63" s="36"/>
      <c r="H63" s="36"/>
    </row>
    <row r="64" hidden="1" spans="1:8">
      <c r="A64" s="20"/>
      <c r="B64" s="30"/>
      <c r="C64" s="32"/>
      <c r="D64" s="21"/>
      <c r="E64" s="21"/>
      <c r="F64" s="36">
        <f t="shared" si="7"/>
        <v>0</v>
      </c>
      <c r="G64" s="36"/>
      <c r="H64" s="36"/>
    </row>
    <row r="65" s="4" customFormat="1" ht="14.25" hidden="1" spans="1:11">
      <c r="A65" s="23"/>
      <c r="B65" s="45" t="s">
        <v>387</v>
      </c>
      <c r="C65" s="46"/>
      <c r="D65" s="24"/>
      <c r="E65" s="24"/>
      <c r="F65" s="39">
        <f>SUM(F59:F64)</f>
        <v>0</v>
      </c>
      <c r="G65" s="39">
        <f t="shared" ref="G65:H65" si="8">SUM(G59:G64)</f>
        <v>0</v>
      </c>
      <c r="H65" s="39">
        <f t="shared" si="8"/>
        <v>0</v>
      </c>
      <c r="I65" s="44"/>
      <c r="J65" s="44"/>
      <c r="K65" s="44"/>
    </row>
    <row r="66" hidden="1"/>
    <row r="67" s="5" customFormat="1" ht="14.25" hidden="1" spans="1:11">
      <c r="A67" s="5" t="s">
        <v>415</v>
      </c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hidden="1"/>
    <row r="69" ht="72" hidden="1" spans="1:8">
      <c r="A69" s="25" t="s">
        <v>389</v>
      </c>
      <c r="B69" s="27" t="s">
        <v>416</v>
      </c>
      <c r="C69" s="29"/>
      <c r="D69" s="18" t="s">
        <v>417</v>
      </c>
      <c r="E69" s="18" t="s">
        <v>418</v>
      </c>
      <c r="F69" s="18" t="s">
        <v>419</v>
      </c>
      <c r="G69" s="18" t="s">
        <v>420</v>
      </c>
      <c r="H69" s="18" t="s">
        <v>421</v>
      </c>
    </row>
    <row r="70" hidden="1" spans="1:8">
      <c r="A70" s="19">
        <v>1</v>
      </c>
      <c r="B70" s="30">
        <v>2</v>
      </c>
      <c r="C70" s="32"/>
      <c r="D70" s="19">
        <v>3</v>
      </c>
      <c r="E70" s="19">
        <v>4</v>
      </c>
      <c r="F70" s="19">
        <v>5</v>
      </c>
      <c r="G70" s="19">
        <v>6</v>
      </c>
      <c r="H70" s="19">
        <v>7</v>
      </c>
    </row>
    <row r="71" hidden="1" spans="1:8">
      <c r="A71" s="20">
        <v>1</v>
      </c>
      <c r="B71" s="47" t="s">
        <v>422</v>
      </c>
      <c r="C71" s="48"/>
      <c r="D71" s="21"/>
      <c r="E71" s="49">
        <v>0.015</v>
      </c>
      <c r="F71" s="36">
        <f>ROUND(D71*E71,0)</f>
        <v>0</v>
      </c>
      <c r="G71" s="36">
        <f>F71</f>
        <v>0</v>
      </c>
      <c r="H71" s="36">
        <f>G71</f>
        <v>0</v>
      </c>
    </row>
    <row r="72" hidden="1" spans="1:8">
      <c r="A72" s="20">
        <v>2</v>
      </c>
      <c r="B72" s="47" t="s">
        <v>422</v>
      </c>
      <c r="C72" s="48"/>
      <c r="D72" s="21"/>
      <c r="E72" s="49">
        <v>0.015</v>
      </c>
      <c r="F72" s="36">
        <f t="shared" ref="F72:F75" si="9">ROUND(D72*E72,0)</f>
        <v>0</v>
      </c>
      <c r="G72" s="36">
        <f t="shared" ref="G72:H74" si="10">F72</f>
        <v>0</v>
      </c>
      <c r="H72" s="36">
        <f t="shared" si="10"/>
        <v>0</v>
      </c>
    </row>
    <row r="73" hidden="1" spans="1:8">
      <c r="A73" s="20">
        <v>3</v>
      </c>
      <c r="B73" s="47" t="s">
        <v>422</v>
      </c>
      <c r="C73" s="48"/>
      <c r="D73" s="21"/>
      <c r="E73" s="49">
        <v>0.015</v>
      </c>
      <c r="F73" s="36">
        <f t="shared" si="9"/>
        <v>0</v>
      </c>
      <c r="G73" s="36">
        <f t="shared" si="10"/>
        <v>0</v>
      </c>
      <c r="H73" s="36">
        <f t="shared" si="10"/>
        <v>0</v>
      </c>
    </row>
    <row r="74" hidden="1" spans="1:8">
      <c r="A74" s="20">
        <v>4</v>
      </c>
      <c r="B74" s="47" t="s">
        <v>422</v>
      </c>
      <c r="C74" s="48"/>
      <c r="D74" s="21"/>
      <c r="E74" s="49">
        <v>0.015</v>
      </c>
      <c r="F74" s="36">
        <f t="shared" si="9"/>
        <v>0</v>
      </c>
      <c r="G74" s="36">
        <f t="shared" si="10"/>
        <v>0</v>
      </c>
      <c r="H74" s="36">
        <f t="shared" si="10"/>
        <v>0</v>
      </c>
    </row>
    <row r="75" hidden="1" spans="1:8">
      <c r="A75" s="20">
        <v>5</v>
      </c>
      <c r="B75" s="47" t="s">
        <v>423</v>
      </c>
      <c r="C75" s="48"/>
      <c r="D75" s="21"/>
      <c r="E75" s="49">
        <v>0.022</v>
      </c>
      <c r="F75" s="36">
        <f t="shared" si="9"/>
        <v>0</v>
      </c>
      <c r="G75" s="36">
        <f>F75</f>
        <v>0</v>
      </c>
      <c r="H75" s="36">
        <f>G75</f>
        <v>0</v>
      </c>
    </row>
    <row r="76" hidden="1" spans="1:8">
      <c r="A76" s="20"/>
      <c r="B76" s="30"/>
      <c r="C76" s="32"/>
      <c r="D76" s="21"/>
      <c r="E76" s="21"/>
      <c r="F76" s="36"/>
      <c r="G76" s="36"/>
      <c r="H76" s="36"/>
    </row>
    <row r="77" s="4" customFormat="1" ht="14.25" hidden="1" spans="1:11">
      <c r="A77" s="23"/>
      <c r="B77" s="45" t="s">
        <v>387</v>
      </c>
      <c r="C77" s="46"/>
      <c r="D77" s="24"/>
      <c r="E77" s="24"/>
      <c r="F77" s="39">
        <f>SUM(F71:F76)</f>
        <v>0</v>
      </c>
      <c r="G77" s="39">
        <f>SUM(G71:G76)</f>
        <v>0</v>
      </c>
      <c r="H77" s="39">
        <f>SUM(H71:H76)</f>
        <v>0</v>
      </c>
      <c r="I77" s="44"/>
      <c r="J77" s="44"/>
      <c r="K77" s="44"/>
    </row>
    <row r="79" ht="27" customHeight="1" spans="1:8">
      <c r="A79" s="50" t="s">
        <v>424</v>
      </c>
      <c r="B79" s="50"/>
      <c r="C79" s="50"/>
      <c r="D79" s="50"/>
      <c r="E79" s="50"/>
      <c r="F79" s="50"/>
      <c r="G79" s="50"/>
      <c r="H79" s="50"/>
    </row>
    <row r="81" ht="36" spans="1:8">
      <c r="A81" s="25" t="s">
        <v>389</v>
      </c>
      <c r="B81" s="27" t="s">
        <v>24</v>
      </c>
      <c r="C81" s="29"/>
      <c r="D81" s="18" t="s">
        <v>425</v>
      </c>
      <c r="E81" s="18" t="s">
        <v>409</v>
      </c>
      <c r="F81" s="18" t="s">
        <v>696</v>
      </c>
      <c r="G81" s="18" t="s">
        <v>697</v>
      </c>
      <c r="H81" s="18" t="s">
        <v>698</v>
      </c>
    </row>
    <row r="82" spans="1:8">
      <c r="A82" s="19">
        <v>1</v>
      </c>
      <c r="B82" s="30">
        <v>2</v>
      </c>
      <c r="C82" s="32"/>
      <c r="D82" s="19">
        <v>3</v>
      </c>
      <c r="E82" s="19">
        <v>4</v>
      </c>
      <c r="F82" s="19">
        <v>5</v>
      </c>
      <c r="G82" s="19">
        <v>6</v>
      </c>
      <c r="H82" s="19">
        <v>7</v>
      </c>
    </row>
    <row r="83" spans="1:8">
      <c r="A83" s="20"/>
      <c r="B83" s="30" t="s">
        <v>706</v>
      </c>
      <c r="C83" s="32"/>
      <c r="D83" s="21">
        <v>1000</v>
      </c>
      <c r="E83" s="21">
        <v>1</v>
      </c>
      <c r="F83" s="21">
        <v>1000</v>
      </c>
      <c r="G83" s="21"/>
      <c r="H83" s="21"/>
    </row>
    <row r="84" spans="1:8">
      <c r="A84" s="20"/>
      <c r="B84" s="30" t="s">
        <v>707</v>
      </c>
      <c r="C84" s="32"/>
      <c r="D84" s="21">
        <v>1000</v>
      </c>
      <c r="E84" s="21">
        <v>1</v>
      </c>
      <c r="F84" s="21">
        <v>1000</v>
      </c>
      <c r="G84" s="21"/>
      <c r="H84" s="21"/>
    </row>
    <row r="85" spans="1:8">
      <c r="A85" s="20"/>
      <c r="B85" s="30" t="s">
        <v>708</v>
      </c>
      <c r="C85" s="32"/>
      <c r="D85" s="21">
        <v>1000</v>
      </c>
      <c r="E85" s="21">
        <v>1</v>
      </c>
      <c r="F85" s="21">
        <v>1000</v>
      </c>
      <c r="G85" s="21"/>
      <c r="H85" s="21"/>
    </row>
    <row r="86" spans="1:8">
      <c r="A86" s="20"/>
      <c r="B86" s="30"/>
      <c r="C86" s="32"/>
      <c r="D86" s="21"/>
      <c r="E86" s="21"/>
      <c r="F86" s="21"/>
      <c r="G86" s="21"/>
      <c r="H86" s="21"/>
    </row>
    <row r="87" spans="1:8">
      <c r="A87" s="20"/>
      <c r="B87" s="30"/>
      <c r="C87" s="32"/>
      <c r="D87" s="21"/>
      <c r="E87" s="21"/>
      <c r="F87" s="21"/>
      <c r="G87" s="21"/>
      <c r="H87" s="21"/>
    </row>
    <row r="88" spans="1:8">
      <c r="A88" s="20"/>
      <c r="B88" s="30"/>
      <c r="C88" s="32"/>
      <c r="D88" s="21"/>
      <c r="E88" s="21"/>
      <c r="F88" s="21"/>
      <c r="G88" s="21"/>
      <c r="H88" s="21"/>
    </row>
    <row r="89" spans="1:8">
      <c r="A89" s="20"/>
      <c r="B89" s="30" t="s">
        <v>387</v>
      </c>
      <c r="C89" s="32"/>
      <c r="D89" s="21"/>
      <c r="E89" s="21"/>
      <c r="F89" s="21">
        <f>F83+F84+F85+F86</f>
        <v>3000</v>
      </c>
      <c r="G89" s="21"/>
      <c r="H89" s="21"/>
    </row>
    <row r="91" s="5" customFormat="1" ht="14.25" hidden="1" spans="1:11">
      <c r="A91" s="5" t="s">
        <v>427</v>
      </c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="5" customFormat="1" ht="14.25" hidden="1" spans="1:11">
      <c r="A92" s="5" t="s">
        <v>428</v>
      </c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hidden="1"/>
    <row r="94" ht="24" hidden="1" spans="1:9">
      <c r="A94" s="25" t="s">
        <v>389</v>
      </c>
      <c r="B94" s="27" t="s">
        <v>560</v>
      </c>
      <c r="C94" s="29"/>
      <c r="D94" s="18" t="s">
        <v>429</v>
      </c>
      <c r="E94" s="18" t="s">
        <v>430</v>
      </c>
      <c r="F94" s="18" t="s">
        <v>431</v>
      </c>
      <c r="G94" s="18" t="s">
        <v>410</v>
      </c>
      <c r="H94" s="18" t="s">
        <v>411</v>
      </c>
      <c r="I94" s="18" t="s">
        <v>412</v>
      </c>
    </row>
    <row r="95" hidden="1" spans="1:9">
      <c r="A95" s="19">
        <v>1</v>
      </c>
      <c r="B95" s="30">
        <v>2</v>
      </c>
      <c r="C95" s="32"/>
      <c r="D95" s="19">
        <v>3</v>
      </c>
      <c r="E95" s="19">
        <v>4</v>
      </c>
      <c r="F95" s="19">
        <v>5</v>
      </c>
      <c r="G95" s="19">
        <v>6</v>
      </c>
      <c r="H95" s="19">
        <v>7</v>
      </c>
      <c r="I95" s="19">
        <v>8</v>
      </c>
    </row>
    <row r="96" hidden="1" spans="1:9">
      <c r="A96" s="20"/>
      <c r="B96" s="47" t="s">
        <v>561</v>
      </c>
      <c r="C96" s="48"/>
      <c r="D96" s="21"/>
      <c r="E96" s="21"/>
      <c r="F96" s="21"/>
      <c r="G96" s="36"/>
      <c r="H96" s="36"/>
      <c r="I96" s="36"/>
    </row>
    <row r="97" hidden="1" spans="1:9">
      <c r="A97" s="20"/>
      <c r="B97" s="47" t="s">
        <v>434</v>
      </c>
      <c r="C97" s="48"/>
      <c r="D97" s="21"/>
      <c r="E97" s="21">
        <v>12</v>
      </c>
      <c r="F97" s="21">
        <v>247.8</v>
      </c>
      <c r="G97" s="36">
        <f>D97*E97*F97</f>
        <v>0</v>
      </c>
      <c r="H97" s="36"/>
      <c r="I97" s="36"/>
    </row>
    <row r="98" hidden="1" spans="1:9">
      <c r="A98" s="20"/>
      <c r="B98" s="47" t="s">
        <v>435</v>
      </c>
      <c r="C98" s="48"/>
      <c r="D98" s="21"/>
      <c r="E98" s="21">
        <v>12</v>
      </c>
      <c r="F98" s="21">
        <v>0.61</v>
      </c>
      <c r="G98" s="36">
        <f t="shared" ref="G98:G99" si="11">D98*E98*F98</f>
        <v>0</v>
      </c>
      <c r="H98" s="36"/>
      <c r="I98" s="36"/>
    </row>
    <row r="99" hidden="1" spans="1:9">
      <c r="A99" s="20"/>
      <c r="B99" s="47" t="s">
        <v>436</v>
      </c>
      <c r="C99" s="48"/>
      <c r="D99" s="21"/>
      <c r="E99" s="21">
        <v>12</v>
      </c>
      <c r="F99" s="21">
        <v>2341.43</v>
      </c>
      <c r="G99" s="36">
        <f t="shared" si="11"/>
        <v>0</v>
      </c>
      <c r="H99" s="36"/>
      <c r="I99" s="36"/>
    </row>
    <row r="100" hidden="1" spans="1:9">
      <c r="A100" s="20"/>
      <c r="B100" s="30"/>
      <c r="C100" s="32"/>
      <c r="D100" s="21"/>
      <c r="E100" s="21"/>
      <c r="F100" s="21"/>
      <c r="G100" s="36"/>
      <c r="H100" s="36"/>
      <c r="I100" s="36"/>
    </row>
    <row r="101" hidden="1" spans="1:9">
      <c r="A101" s="20"/>
      <c r="B101" s="30"/>
      <c r="C101" s="32"/>
      <c r="D101" s="21"/>
      <c r="E101" s="21"/>
      <c r="F101" s="21"/>
      <c r="G101" s="36"/>
      <c r="H101" s="36"/>
      <c r="I101" s="36"/>
    </row>
    <row r="102" s="4" customFormat="1" ht="14.25" hidden="1" spans="1:11">
      <c r="A102" s="23"/>
      <c r="B102" s="45" t="s">
        <v>387</v>
      </c>
      <c r="C102" s="46"/>
      <c r="D102" s="24"/>
      <c r="E102" s="24"/>
      <c r="F102" s="24"/>
      <c r="G102" s="39">
        <f>ROUND(SUM(G96:G101),0)</f>
        <v>0</v>
      </c>
      <c r="H102" s="39">
        <f t="shared" ref="H102:I102" si="12">SUM(H96:H101)</f>
        <v>0</v>
      </c>
      <c r="I102" s="39">
        <f t="shared" si="12"/>
        <v>0</v>
      </c>
      <c r="J102" s="44"/>
      <c r="K102" s="44"/>
    </row>
    <row r="103" hidden="1"/>
    <row r="104" s="5" customFormat="1" ht="14.25" hidden="1" spans="1:11">
      <c r="A104" s="5" t="s">
        <v>437</v>
      </c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hidden="1"/>
    <row r="106" ht="36" hidden="1" spans="1:8">
      <c r="A106" s="25" t="s">
        <v>389</v>
      </c>
      <c r="B106" s="27" t="s">
        <v>416</v>
      </c>
      <c r="C106" s="29"/>
      <c r="D106" s="18" t="s">
        <v>438</v>
      </c>
      <c r="E106" s="18" t="s">
        <v>439</v>
      </c>
      <c r="F106" s="18" t="s">
        <v>410</v>
      </c>
      <c r="G106" s="18" t="s">
        <v>411</v>
      </c>
      <c r="H106" s="18" t="s">
        <v>412</v>
      </c>
    </row>
    <row r="107" hidden="1" spans="1:8">
      <c r="A107" s="19">
        <v>1</v>
      </c>
      <c r="B107" s="30">
        <v>2</v>
      </c>
      <c r="C107" s="32"/>
      <c r="D107" s="19">
        <v>3</v>
      </c>
      <c r="E107" s="19">
        <v>4</v>
      </c>
      <c r="F107" s="19">
        <v>5</v>
      </c>
      <c r="G107" s="19">
        <v>6</v>
      </c>
      <c r="H107" s="19">
        <v>7</v>
      </c>
    </row>
    <row r="108" hidden="1" spans="1:8">
      <c r="A108" s="20">
        <v>1</v>
      </c>
      <c r="B108" s="30" t="s">
        <v>440</v>
      </c>
      <c r="C108" s="32"/>
      <c r="D108" s="21"/>
      <c r="E108" s="21"/>
      <c r="F108" s="21">
        <f>D108*E108</f>
        <v>0</v>
      </c>
      <c r="G108" s="21"/>
      <c r="H108" s="21"/>
    </row>
    <row r="109" hidden="1" spans="1:8">
      <c r="A109" s="20"/>
      <c r="B109" s="30"/>
      <c r="C109" s="32"/>
      <c r="D109" s="21"/>
      <c r="E109" s="21"/>
      <c r="F109" s="21">
        <f t="shared" ref="F109:F113" si="13">D109*E109</f>
        <v>0</v>
      </c>
      <c r="G109" s="21"/>
      <c r="H109" s="21"/>
    </row>
    <row r="110" hidden="1" spans="1:8">
      <c r="A110" s="20"/>
      <c r="B110" s="30"/>
      <c r="C110" s="32"/>
      <c r="D110" s="21"/>
      <c r="E110" s="21"/>
      <c r="F110" s="21">
        <f t="shared" si="13"/>
        <v>0</v>
      </c>
      <c r="G110" s="21"/>
      <c r="H110" s="21"/>
    </row>
    <row r="111" hidden="1" spans="1:8">
      <c r="A111" s="20"/>
      <c r="B111" s="30"/>
      <c r="C111" s="32"/>
      <c r="D111" s="21"/>
      <c r="E111" s="21"/>
      <c r="F111" s="21">
        <f t="shared" si="13"/>
        <v>0</v>
      </c>
      <c r="G111" s="21"/>
      <c r="H111" s="21"/>
    </row>
    <row r="112" hidden="1" spans="1:8">
      <c r="A112" s="20"/>
      <c r="B112" s="30"/>
      <c r="C112" s="32"/>
      <c r="D112" s="21"/>
      <c r="E112" s="21"/>
      <c r="F112" s="21">
        <f t="shared" si="13"/>
        <v>0</v>
      </c>
      <c r="G112" s="21"/>
      <c r="H112" s="21"/>
    </row>
    <row r="113" hidden="1" spans="1:8">
      <c r="A113" s="20"/>
      <c r="B113" s="30"/>
      <c r="C113" s="32"/>
      <c r="D113" s="21"/>
      <c r="E113" s="21"/>
      <c r="F113" s="21">
        <f t="shared" si="13"/>
        <v>0</v>
      </c>
      <c r="G113" s="21"/>
      <c r="H113" s="21"/>
    </row>
    <row r="114" s="4" customFormat="1" ht="14.25" hidden="1" spans="1:11">
      <c r="A114" s="23"/>
      <c r="B114" s="45" t="s">
        <v>387</v>
      </c>
      <c r="C114" s="46"/>
      <c r="D114" s="24"/>
      <c r="E114" s="24"/>
      <c r="F114" s="24">
        <f>SUM(F108:F113)</f>
        <v>0</v>
      </c>
      <c r="G114" s="24">
        <f t="shared" ref="G114:H114" si="14">SUM(G108:G113)</f>
        <v>0</v>
      </c>
      <c r="H114" s="24">
        <f t="shared" si="14"/>
        <v>0</v>
      </c>
      <c r="I114" s="44"/>
      <c r="J114" s="44"/>
      <c r="K114" s="44"/>
    </row>
    <row r="115" hidden="1"/>
    <row r="116" s="5" customFormat="1" ht="14.25" hidden="1" spans="1:11">
      <c r="A116" s="5" t="s">
        <v>441</v>
      </c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hidden="1"/>
    <row r="118" ht="36" hidden="1" spans="1:9">
      <c r="A118" s="25" t="s">
        <v>389</v>
      </c>
      <c r="B118" s="27" t="s">
        <v>24</v>
      </c>
      <c r="C118" s="29"/>
      <c r="D118" s="18" t="s">
        <v>442</v>
      </c>
      <c r="E118" s="18" t="s">
        <v>443</v>
      </c>
      <c r="F118" s="18" t="s">
        <v>444</v>
      </c>
      <c r="G118" s="18" t="s">
        <v>410</v>
      </c>
      <c r="H118" s="18" t="s">
        <v>411</v>
      </c>
      <c r="I118" s="18" t="s">
        <v>412</v>
      </c>
    </row>
    <row r="119" hidden="1" spans="1:9">
      <c r="A119" s="19">
        <v>1</v>
      </c>
      <c r="B119" s="30">
        <v>2</v>
      </c>
      <c r="C119" s="32"/>
      <c r="D119" s="19">
        <v>3</v>
      </c>
      <c r="E119" s="19">
        <v>4</v>
      </c>
      <c r="F119" s="19">
        <v>5</v>
      </c>
      <c r="G119" s="19">
        <v>6</v>
      </c>
      <c r="H119" s="19">
        <v>7</v>
      </c>
      <c r="I119" s="19">
        <v>8</v>
      </c>
    </row>
    <row r="120" hidden="1" spans="1:9">
      <c r="A120" s="20"/>
      <c r="B120" s="30" t="s">
        <v>562</v>
      </c>
      <c r="C120" s="32"/>
      <c r="D120" s="21"/>
      <c r="E120" s="21"/>
      <c r="F120" s="21"/>
      <c r="G120" s="21">
        <f>D120*E120*F120</f>
        <v>0</v>
      </c>
      <c r="H120" s="21"/>
      <c r="I120" s="21"/>
    </row>
    <row r="121" hidden="1" spans="1:9">
      <c r="A121" s="20"/>
      <c r="B121" s="30"/>
      <c r="C121" s="32"/>
      <c r="D121" s="21"/>
      <c r="E121" s="21"/>
      <c r="F121" s="21"/>
      <c r="G121" s="21">
        <f t="shared" ref="G121:G125" si="15">D121*E121*F121</f>
        <v>0</v>
      </c>
      <c r="H121" s="21"/>
      <c r="I121" s="21"/>
    </row>
    <row r="122" hidden="1" spans="1:9">
      <c r="A122" s="20"/>
      <c r="B122" s="30" t="s">
        <v>562</v>
      </c>
      <c r="C122" s="32"/>
      <c r="D122" s="21"/>
      <c r="E122" s="21"/>
      <c r="F122" s="21"/>
      <c r="G122" s="21">
        <f t="shared" si="15"/>
        <v>0</v>
      </c>
      <c r="H122" s="21"/>
      <c r="I122" s="21"/>
    </row>
    <row r="123" hidden="1" spans="1:9">
      <c r="A123" s="20"/>
      <c r="B123" s="30"/>
      <c r="C123" s="32"/>
      <c r="D123" s="21"/>
      <c r="E123" s="21"/>
      <c r="F123" s="21"/>
      <c r="G123" s="21">
        <f t="shared" si="15"/>
        <v>0</v>
      </c>
      <c r="H123" s="21"/>
      <c r="I123" s="21"/>
    </row>
    <row r="124" hidden="1" spans="1:9">
      <c r="A124" s="20"/>
      <c r="B124" s="30" t="s">
        <v>562</v>
      </c>
      <c r="C124" s="32"/>
      <c r="D124" s="21"/>
      <c r="E124" s="21"/>
      <c r="F124" s="21"/>
      <c r="G124" s="21">
        <f t="shared" si="15"/>
        <v>0</v>
      </c>
      <c r="H124" s="21"/>
      <c r="I124" s="21"/>
    </row>
    <row r="125" hidden="1" spans="1:9">
      <c r="A125" s="20"/>
      <c r="B125" s="30"/>
      <c r="C125" s="32"/>
      <c r="D125" s="21"/>
      <c r="E125" s="21"/>
      <c r="F125" s="21"/>
      <c r="G125" s="21">
        <f t="shared" si="15"/>
        <v>0</v>
      </c>
      <c r="H125" s="21"/>
      <c r="I125" s="21"/>
    </row>
    <row r="126" s="4" customFormat="1" ht="14.25" hidden="1" spans="1:11">
      <c r="A126" s="23"/>
      <c r="B126" s="45" t="s">
        <v>387</v>
      </c>
      <c r="C126" s="46"/>
      <c r="D126" s="24"/>
      <c r="E126" s="24"/>
      <c r="F126" s="24"/>
      <c r="G126" s="24">
        <f>SUM(G120:G125)</f>
        <v>0</v>
      </c>
      <c r="H126" s="24">
        <f t="shared" ref="H126:I126" si="16">SUM(H120:H125)</f>
        <v>0</v>
      </c>
      <c r="I126" s="24">
        <f t="shared" si="16"/>
        <v>0</v>
      </c>
      <c r="J126" s="44"/>
      <c r="K126" s="44"/>
    </row>
    <row r="127" hidden="1"/>
    <row r="128" s="5" customFormat="1" ht="14.25" hidden="1" spans="1:11">
      <c r="A128" s="5" t="s">
        <v>461</v>
      </c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hidden="1"/>
    <row r="130" ht="48" hidden="1" spans="1:8">
      <c r="A130" s="25" t="s">
        <v>389</v>
      </c>
      <c r="B130" s="27" t="s">
        <v>24</v>
      </c>
      <c r="C130" s="29"/>
      <c r="D130" s="18" t="s">
        <v>462</v>
      </c>
      <c r="E130" s="18" t="s">
        <v>463</v>
      </c>
      <c r="F130" s="18" t="s">
        <v>464</v>
      </c>
      <c r="G130" s="18" t="s">
        <v>464</v>
      </c>
      <c r="H130" s="18" t="s">
        <v>464</v>
      </c>
    </row>
    <row r="131" hidden="1" spans="1:8">
      <c r="A131" s="19">
        <v>1</v>
      </c>
      <c r="B131" s="30">
        <v>2</v>
      </c>
      <c r="C131" s="32"/>
      <c r="D131" s="19">
        <v>3</v>
      </c>
      <c r="E131" s="19">
        <v>4</v>
      </c>
      <c r="F131" s="19">
        <v>5</v>
      </c>
      <c r="G131" s="19">
        <v>6</v>
      </c>
      <c r="H131" s="19">
        <v>7</v>
      </c>
    </row>
    <row r="132" hidden="1" spans="1:8">
      <c r="A132" s="20"/>
      <c r="B132" s="30"/>
      <c r="C132" s="32"/>
      <c r="D132" s="21"/>
      <c r="E132" s="21"/>
      <c r="F132" s="21"/>
      <c r="G132" s="21"/>
      <c r="H132" s="21"/>
    </row>
    <row r="133" hidden="1" spans="1:8">
      <c r="A133" s="20"/>
      <c r="B133" s="30"/>
      <c r="C133" s="32"/>
      <c r="D133" s="21"/>
      <c r="E133" s="21"/>
      <c r="F133" s="21"/>
      <c r="G133" s="21"/>
      <c r="H133" s="21"/>
    </row>
    <row r="134" hidden="1" spans="1:8">
      <c r="A134" s="20"/>
      <c r="B134" s="30"/>
      <c r="C134" s="32"/>
      <c r="D134" s="21"/>
      <c r="E134" s="21"/>
      <c r="F134" s="21"/>
      <c r="G134" s="21"/>
      <c r="H134" s="21"/>
    </row>
    <row r="135" hidden="1" spans="1:8">
      <c r="A135" s="20"/>
      <c r="B135" s="30"/>
      <c r="C135" s="32"/>
      <c r="D135" s="21"/>
      <c r="E135" s="21"/>
      <c r="F135" s="21"/>
      <c r="G135" s="21"/>
      <c r="H135" s="21"/>
    </row>
    <row r="136" hidden="1" spans="1:8">
      <c r="A136" s="20"/>
      <c r="B136" s="30"/>
      <c r="C136" s="32"/>
      <c r="D136" s="21"/>
      <c r="E136" s="21"/>
      <c r="F136" s="21"/>
      <c r="G136" s="21"/>
      <c r="H136" s="21"/>
    </row>
    <row r="137" hidden="1" spans="1:8">
      <c r="A137" s="20"/>
      <c r="B137" s="30"/>
      <c r="C137" s="32"/>
      <c r="D137" s="21"/>
      <c r="E137" s="21"/>
      <c r="F137" s="21"/>
      <c r="G137" s="21"/>
      <c r="H137" s="21"/>
    </row>
    <row r="138" s="4" customFormat="1" ht="14.25" hidden="1" spans="1:11">
      <c r="A138" s="23"/>
      <c r="B138" s="45" t="s">
        <v>387</v>
      </c>
      <c r="C138" s="46"/>
      <c r="D138" s="24"/>
      <c r="E138" s="24"/>
      <c r="F138" s="24">
        <f>SUM(F132:F137)</f>
        <v>0</v>
      </c>
      <c r="G138" s="24">
        <f t="shared" ref="G138:H138" si="17">SUM(G132:G137)</f>
        <v>0</v>
      </c>
      <c r="H138" s="24">
        <f t="shared" si="17"/>
        <v>0</v>
      </c>
      <c r="I138" s="44"/>
      <c r="J138" s="44"/>
      <c r="K138" s="44"/>
    </row>
    <row r="139" hidden="1"/>
    <row r="140" s="5" customFormat="1" ht="14.25" hidden="1" spans="1:11">
      <c r="A140" s="5" t="s">
        <v>465</v>
      </c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hidden="1"/>
    <row r="142" ht="24" hidden="1" spans="1:8">
      <c r="A142" s="25" t="s">
        <v>389</v>
      </c>
      <c r="B142" s="27" t="s">
        <v>24</v>
      </c>
      <c r="C142" s="29"/>
      <c r="D142" s="18" t="s">
        <v>466</v>
      </c>
      <c r="E142" s="18" t="s">
        <v>467</v>
      </c>
      <c r="F142" s="18" t="s">
        <v>410</v>
      </c>
      <c r="G142" s="18" t="s">
        <v>411</v>
      </c>
      <c r="H142" s="18" t="s">
        <v>412</v>
      </c>
    </row>
    <row r="143" hidden="1" spans="1:8">
      <c r="A143" s="19">
        <v>1</v>
      </c>
      <c r="B143" s="30">
        <v>2</v>
      </c>
      <c r="C143" s="32"/>
      <c r="D143" s="19">
        <v>3</v>
      </c>
      <c r="E143" s="19">
        <v>4</v>
      </c>
      <c r="F143" s="19">
        <v>5</v>
      </c>
      <c r="G143" s="19">
        <v>6</v>
      </c>
      <c r="H143" s="19">
        <v>7</v>
      </c>
    </row>
    <row r="144" hidden="1" spans="1:8">
      <c r="A144" s="20">
        <v>1</v>
      </c>
      <c r="B144" s="30" t="s">
        <v>563</v>
      </c>
      <c r="C144" s="32"/>
      <c r="D144" s="21"/>
      <c r="E144" s="21">
        <v>2460</v>
      </c>
      <c r="F144" s="21">
        <f>E144*D144</f>
        <v>0</v>
      </c>
      <c r="G144" s="21"/>
      <c r="H144" s="21"/>
    </row>
    <row r="145" hidden="1" spans="1:8">
      <c r="A145" s="20"/>
      <c r="B145" s="30" t="s">
        <v>564</v>
      </c>
      <c r="C145" s="32"/>
      <c r="D145" s="21"/>
      <c r="E145" s="21"/>
      <c r="F145" s="21">
        <f t="shared" ref="F145:F161" si="18">E145*D145</f>
        <v>0</v>
      </c>
      <c r="G145" s="21"/>
      <c r="H145" s="21"/>
    </row>
    <row r="146" hidden="1" spans="1:8">
      <c r="A146" s="20"/>
      <c r="B146" s="30"/>
      <c r="C146" s="32"/>
      <c r="D146" s="21"/>
      <c r="E146" s="21"/>
      <c r="F146" s="21">
        <f t="shared" si="18"/>
        <v>0</v>
      </c>
      <c r="G146" s="21"/>
      <c r="H146" s="21"/>
    </row>
    <row r="147" hidden="1" spans="1:8">
      <c r="A147" s="20"/>
      <c r="B147" s="30"/>
      <c r="C147" s="32"/>
      <c r="D147" s="21"/>
      <c r="E147" s="21"/>
      <c r="F147" s="21">
        <f t="shared" si="18"/>
        <v>0</v>
      </c>
      <c r="G147" s="21"/>
      <c r="H147" s="21"/>
    </row>
    <row r="148" hidden="1" spans="1:8">
      <c r="A148" s="20"/>
      <c r="B148" s="30"/>
      <c r="C148" s="32"/>
      <c r="D148" s="21"/>
      <c r="E148" s="21"/>
      <c r="F148" s="21">
        <f t="shared" si="18"/>
        <v>0</v>
      </c>
      <c r="G148" s="21"/>
      <c r="H148" s="21"/>
    </row>
    <row r="149" hidden="1" spans="1:8">
      <c r="A149" s="20"/>
      <c r="B149" s="30"/>
      <c r="C149" s="32"/>
      <c r="D149" s="21"/>
      <c r="E149" s="21"/>
      <c r="F149" s="21">
        <f t="shared" si="18"/>
        <v>0</v>
      </c>
      <c r="G149" s="21"/>
      <c r="H149" s="21"/>
    </row>
    <row r="150" hidden="1" spans="1:8">
      <c r="A150" s="20"/>
      <c r="B150" s="30"/>
      <c r="C150" s="32"/>
      <c r="D150" s="21"/>
      <c r="E150" s="21"/>
      <c r="F150" s="21">
        <f t="shared" si="18"/>
        <v>0</v>
      </c>
      <c r="G150" s="21"/>
      <c r="H150" s="21"/>
    </row>
    <row r="151" hidden="1" spans="1:8">
      <c r="A151" s="20"/>
      <c r="B151" s="30"/>
      <c r="C151" s="32"/>
      <c r="D151" s="21"/>
      <c r="E151" s="21"/>
      <c r="F151" s="21">
        <f t="shared" si="18"/>
        <v>0</v>
      </c>
      <c r="G151" s="21"/>
      <c r="H151" s="21"/>
    </row>
    <row r="152" hidden="1" spans="1:8">
      <c r="A152" s="20"/>
      <c r="B152" s="30"/>
      <c r="C152" s="32"/>
      <c r="D152" s="21"/>
      <c r="E152" s="21"/>
      <c r="F152" s="21">
        <f t="shared" si="18"/>
        <v>0</v>
      </c>
      <c r="G152" s="21"/>
      <c r="H152" s="21"/>
    </row>
    <row r="153" hidden="1" spans="1:8">
      <c r="A153" s="20"/>
      <c r="B153" s="30"/>
      <c r="C153" s="32"/>
      <c r="D153" s="21"/>
      <c r="E153" s="21"/>
      <c r="F153" s="21">
        <f t="shared" si="18"/>
        <v>0</v>
      </c>
      <c r="G153" s="21"/>
      <c r="H153" s="21"/>
    </row>
    <row r="154" hidden="1" spans="1:8">
      <c r="A154" s="20"/>
      <c r="B154" s="30"/>
      <c r="C154" s="32"/>
      <c r="D154" s="21"/>
      <c r="E154" s="21"/>
      <c r="F154" s="21">
        <f t="shared" si="18"/>
        <v>0</v>
      </c>
      <c r="G154" s="21"/>
      <c r="H154" s="21"/>
    </row>
    <row r="155" hidden="1" spans="1:8">
      <c r="A155" s="20"/>
      <c r="B155" s="30"/>
      <c r="C155" s="32"/>
      <c r="D155" s="21"/>
      <c r="E155" s="21"/>
      <c r="F155" s="21">
        <f t="shared" si="18"/>
        <v>0</v>
      </c>
      <c r="G155" s="21"/>
      <c r="H155" s="21"/>
    </row>
    <row r="156" hidden="1" spans="1:8">
      <c r="A156" s="20"/>
      <c r="B156" s="30"/>
      <c r="C156" s="32"/>
      <c r="D156" s="21"/>
      <c r="E156" s="21"/>
      <c r="F156" s="21">
        <f t="shared" si="18"/>
        <v>0</v>
      </c>
      <c r="G156" s="21"/>
      <c r="H156" s="21"/>
    </row>
    <row r="157" hidden="1" spans="1:8">
      <c r="A157" s="20"/>
      <c r="B157" s="30"/>
      <c r="C157" s="32"/>
      <c r="D157" s="21"/>
      <c r="E157" s="21"/>
      <c r="F157" s="21">
        <f t="shared" si="18"/>
        <v>0</v>
      </c>
      <c r="G157" s="21"/>
      <c r="H157" s="21"/>
    </row>
    <row r="158" hidden="1" spans="1:8">
      <c r="A158" s="20"/>
      <c r="B158" s="30"/>
      <c r="C158" s="32"/>
      <c r="D158" s="21"/>
      <c r="E158" s="21"/>
      <c r="F158" s="21">
        <f t="shared" si="18"/>
        <v>0</v>
      </c>
      <c r="G158" s="21"/>
      <c r="H158" s="21"/>
    </row>
    <row r="159" hidden="1" spans="1:8">
      <c r="A159" s="20"/>
      <c r="B159" s="30"/>
      <c r="C159" s="32"/>
      <c r="D159" s="21"/>
      <c r="E159" s="21"/>
      <c r="F159" s="21">
        <f t="shared" si="18"/>
        <v>0</v>
      </c>
      <c r="G159" s="21"/>
      <c r="H159" s="21"/>
    </row>
    <row r="160" hidden="1" spans="1:8">
      <c r="A160" s="20"/>
      <c r="B160" s="30"/>
      <c r="C160" s="32"/>
      <c r="D160" s="21"/>
      <c r="E160" s="21"/>
      <c r="F160" s="21">
        <f t="shared" si="18"/>
        <v>0</v>
      </c>
      <c r="G160" s="21"/>
      <c r="H160" s="21"/>
    </row>
    <row r="161" hidden="1" spans="1:8">
      <c r="A161" s="20"/>
      <c r="B161" s="30"/>
      <c r="C161" s="32"/>
      <c r="D161" s="21"/>
      <c r="E161" s="21"/>
      <c r="F161" s="21">
        <f t="shared" si="18"/>
        <v>0</v>
      </c>
      <c r="G161" s="21"/>
      <c r="H161" s="21"/>
    </row>
    <row r="162" s="4" customFormat="1" ht="14.25" hidden="1" spans="1:11">
      <c r="A162" s="23"/>
      <c r="B162" s="45" t="s">
        <v>387</v>
      </c>
      <c r="C162" s="46"/>
      <c r="D162" s="24"/>
      <c r="E162" s="24"/>
      <c r="F162" s="24">
        <f>SUM(F144:F161)</f>
        <v>0</v>
      </c>
      <c r="G162" s="24">
        <f t="shared" ref="G162:H162" si="19">SUM(G144:G161)</f>
        <v>0</v>
      </c>
      <c r="H162" s="24">
        <f t="shared" si="19"/>
        <v>0</v>
      </c>
      <c r="I162" s="44"/>
      <c r="J162" s="44"/>
      <c r="K162" s="44"/>
    </row>
    <row r="163" hidden="1"/>
    <row r="164" s="5" customFormat="1" ht="14.25" hidden="1" spans="1:11">
      <c r="A164" s="5" t="s">
        <v>502</v>
      </c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hidden="1"/>
    <row r="166" ht="24" hidden="1" spans="1:8">
      <c r="A166" s="25" t="s">
        <v>389</v>
      </c>
      <c r="B166" s="27" t="s">
        <v>416</v>
      </c>
      <c r="C166" s="29"/>
      <c r="D166" s="18" t="s">
        <v>466</v>
      </c>
      <c r="E166" s="18" t="s">
        <v>467</v>
      </c>
      <c r="F166" s="18" t="s">
        <v>410</v>
      </c>
      <c r="G166" s="18" t="s">
        <v>411</v>
      </c>
      <c r="H166" s="18" t="s">
        <v>412</v>
      </c>
    </row>
    <row r="167" hidden="1" spans="1:8">
      <c r="A167" s="19">
        <v>1</v>
      </c>
      <c r="B167" s="30">
        <v>2</v>
      </c>
      <c r="C167" s="32"/>
      <c r="D167" s="19">
        <v>3</v>
      </c>
      <c r="E167" s="19">
        <v>4</v>
      </c>
      <c r="F167" s="19">
        <v>5</v>
      </c>
      <c r="G167" s="19">
        <v>6</v>
      </c>
      <c r="H167" s="19">
        <v>7</v>
      </c>
    </row>
    <row r="168" hidden="1" spans="1:8">
      <c r="A168" s="20"/>
      <c r="B168" s="80"/>
      <c r="C168" s="81"/>
      <c r="D168" s="82"/>
      <c r="E168" s="21"/>
      <c r="F168" s="21">
        <f>E168*D168</f>
        <v>0</v>
      </c>
      <c r="G168" s="21"/>
      <c r="H168" s="21"/>
    </row>
    <row r="169" hidden="1" spans="1:8">
      <c r="A169" s="20"/>
      <c r="B169" s="80" t="s">
        <v>681</v>
      </c>
      <c r="C169" s="81"/>
      <c r="D169" s="82"/>
      <c r="E169" s="21"/>
      <c r="F169" s="21">
        <f t="shared" ref="F169:F194" si="20">E169*D169</f>
        <v>0</v>
      </c>
      <c r="G169" s="21"/>
      <c r="H169" s="21"/>
    </row>
    <row r="170" hidden="1" spans="1:8">
      <c r="A170" s="20"/>
      <c r="B170" s="80" t="s">
        <v>682</v>
      </c>
      <c r="C170" s="81"/>
      <c r="D170" s="82"/>
      <c r="E170" s="21"/>
      <c r="F170" s="21">
        <f t="shared" si="20"/>
        <v>0</v>
      </c>
      <c r="G170" s="21">
        <f>F170</f>
        <v>0</v>
      </c>
      <c r="H170" s="21">
        <f>G170</f>
        <v>0</v>
      </c>
    </row>
    <row r="171" hidden="1" spans="1:8">
      <c r="A171" s="20"/>
      <c r="B171" s="90" t="s">
        <v>683</v>
      </c>
      <c r="C171" s="91"/>
      <c r="D171" s="82"/>
      <c r="E171" s="21"/>
      <c r="F171" s="21"/>
      <c r="G171" s="21"/>
      <c r="H171" s="21"/>
    </row>
    <row r="172" hidden="1" spans="1:8">
      <c r="A172" s="20"/>
      <c r="B172" s="80" t="s">
        <v>682</v>
      </c>
      <c r="C172" s="81"/>
      <c r="D172" s="83"/>
      <c r="E172" s="21"/>
      <c r="F172" s="21">
        <f t="shared" ref="F172:F180" si="21">E172*D172</f>
        <v>0</v>
      </c>
      <c r="G172" s="21">
        <f>F172</f>
        <v>0</v>
      </c>
      <c r="H172" s="21">
        <f>G172</f>
        <v>0</v>
      </c>
    </row>
    <row r="173" hidden="1" spans="1:8">
      <c r="A173" s="20"/>
      <c r="B173" s="90" t="s">
        <v>684</v>
      </c>
      <c r="C173" s="91"/>
      <c r="D173" s="83"/>
      <c r="E173" s="21"/>
      <c r="F173" s="21"/>
      <c r="G173" s="21"/>
      <c r="H173" s="21"/>
    </row>
    <row r="174" hidden="1" spans="1:8">
      <c r="A174" s="20"/>
      <c r="B174" s="84" t="s">
        <v>685</v>
      </c>
      <c r="C174" s="85"/>
      <c r="D174" s="83"/>
      <c r="E174" s="21"/>
      <c r="F174" s="21">
        <f t="shared" si="21"/>
        <v>0</v>
      </c>
      <c r="G174" s="21">
        <f>F174</f>
        <v>0</v>
      </c>
      <c r="H174" s="21">
        <f>G174</f>
        <v>0</v>
      </c>
    </row>
    <row r="175" hidden="1" spans="1:8">
      <c r="A175" s="20"/>
      <c r="B175" s="90" t="s">
        <v>686</v>
      </c>
      <c r="C175" s="91"/>
      <c r="D175" s="83"/>
      <c r="E175" s="21"/>
      <c r="F175" s="21"/>
      <c r="G175" s="21"/>
      <c r="H175" s="21"/>
    </row>
    <row r="176" hidden="1" spans="1:8">
      <c r="A176" s="20"/>
      <c r="B176" s="84" t="s">
        <v>685</v>
      </c>
      <c r="C176" s="85"/>
      <c r="D176" s="83"/>
      <c r="E176" s="21"/>
      <c r="F176" s="21">
        <f t="shared" si="21"/>
        <v>0</v>
      </c>
      <c r="G176" s="21">
        <f>F176</f>
        <v>0</v>
      </c>
      <c r="H176" s="21">
        <f>G176</f>
        <v>0</v>
      </c>
    </row>
    <row r="177" hidden="1" spans="1:8">
      <c r="A177" s="20"/>
      <c r="B177" s="90" t="s">
        <v>687</v>
      </c>
      <c r="C177" s="91"/>
      <c r="D177" s="83"/>
      <c r="E177" s="21"/>
      <c r="F177" s="21"/>
      <c r="G177" s="21"/>
      <c r="H177" s="21"/>
    </row>
    <row r="178" hidden="1" spans="1:8">
      <c r="A178" s="20"/>
      <c r="B178" s="84" t="s">
        <v>688</v>
      </c>
      <c r="C178" s="85"/>
      <c r="D178" s="83"/>
      <c r="E178" s="21"/>
      <c r="F178" s="21">
        <f t="shared" si="21"/>
        <v>0</v>
      </c>
      <c r="G178" s="21">
        <f>F178</f>
        <v>0</v>
      </c>
      <c r="H178" s="21">
        <f>G178</f>
        <v>0</v>
      </c>
    </row>
    <row r="179" hidden="1" spans="1:8">
      <c r="A179" s="20"/>
      <c r="B179" s="90" t="s">
        <v>689</v>
      </c>
      <c r="C179" s="91"/>
      <c r="D179" s="83"/>
      <c r="E179" s="21"/>
      <c r="F179" s="21"/>
      <c r="G179" s="21"/>
      <c r="H179" s="21"/>
    </row>
    <row r="180" hidden="1" spans="1:8">
      <c r="A180" s="20"/>
      <c r="B180" s="84" t="s">
        <v>688</v>
      </c>
      <c r="C180" s="85"/>
      <c r="D180" s="83"/>
      <c r="E180" s="21"/>
      <c r="F180" s="21">
        <f t="shared" si="21"/>
        <v>0</v>
      </c>
      <c r="G180" s="21">
        <f>F180</f>
        <v>0</v>
      </c>
      <c r="H180" s="21">
        <f>G180</f>
        <v>0</v>
      </c>
    </row>
    <row r="181" hidden="1" spans="1:8">
      <c r="A181" s="20"/>
      <c r="B181" s="90" t="s">
        <v>690</v>
      </c>
      <c r="C181" s="92"/>
      <c r="D181" s="83"/>
      <c r="E181" s="21"/>
      <c r="F181" s="21"/>
      <c r="G181" s="21"/>
      <c r="H181" s="21"/>
    </row>
    <row r="182" hidden="1" spans="1:8">
      <c r="A182" s="20"/>
      <c r="B182" s="84" t="s">
        <v>691</v>
      </c>
      <c r="C182" s="85"/>
      <c r="D182" s="83"/>
      <c r="E182" s="21"/>
      <c r="F182" s="21">
        <f>ROUND(E182*D182,0)</f>
        <v>0</v>
      </c>
      <c r="G182" s="21">
        <f>F182</f>
        <v>0</v>
      </c>
      <c r="H182" s="21">
        <f>G182</f>
        <v>0</v>
      </c>
    </row>
    <row r="183" hidden="1" spans="1:8">
      <c r="A183" s="20"/>
      <c r="B183" s="80" t="s">
        <v>692</v>
      </c>
      <c r="C183" s="93"/>
      <c r="D183" s="83"/>
      <c r="E183" s="21"/>
      <c r="F183" s="21"/>
      <c r="G183" s="21"/>
      <c r="H183" s="21"/>
    </row>
    <row r="184" hidden="1" spans="1:8">
      <c r="A184" s="20"/>
      <c r="B184" s="84" t="s">
        <v>691</v>
      </c>
      <c r="C184" s="85"/>
      <c r="D184" s="57"/>
      <c r="E184" s="21"/>
      <c r="F184" s="21">
        <f>ROUND(E184*D184,0)</f>
        <v>0</v>
      </c>
      <c r="G184" s="21">
        <f>F184</f>
        <v>0</v>
      </c>
      <c r="H184" s="21">
        <f>G184</f>
        <v>0</v>
      </c>
    </row>
    <row r="185" hidden="1" spans="1:8">
      <c r="A185" s="20"/>
      <c r="B185" s="30"/>
      <c r="C185" s="32"/>
      <c r="D185" s="21"/>
      <c r="E185" s="21"/>
      <c r="F185" s="21">
        <f t="shared" si="20"/>
        <v>0</v>
      </c>
      <c r="G185" s="21"/>
      <c r="H185" s="21"/>
    </row>
    <row r="186" hidden="1" spans="1:8">
      <c r="A186" s="20"/>
      <c r="B186" s="30"/>
      <c r="C186" s="32"/>
      <c r="D186" s="21"/>
      <c r="E186" s="21"/>
      <c r="F186" s="21">
        <f t="shared" si="20"/>
        <v>0</v>
      </c>
      <c r="G186" s="21"/>
      <c r="H186" s="21"/>
    </row>
    <row r="187" hidden="1" spans="1:8">
      <c r="A187" s="20"/>
      <c r="B187" s="30"/>
      <c r="C187" s="32"/>
      <c r="D187" s="21"/>
      <c r="E187" s="21"/>
      <c r="F187" s="21">
        <f t="shared" si="20"/>
        <v>0</v>
      </c>
      <c r="G187" s="21"/>
      <c r="H187" s="21"/>
    </row>
    <row r="188" hidden="1" spans="1:8">
      <c r="A188" s="20"/>
      <c r="B188" s="30"/>
      <c r="C188" s="32"/>
      <c r="D188" s="21"/>
      <c r="E188" s="21"/>
      <c r="F188" s="21">
        <f t="shared" si="20"/>
        <v>0</v>
      </c>
      <c r="G188" s="21"/>
      <c r="H188" s="21"/>
    </row>
    <row r="189" hidden="1" spans="1:8">
      <c r="A189" s="20"/>
      <c r="B189" s="30"/>
      <c r="C189" s="32"/>
      <c r="D189" s="21"/>
      <c r="E189" s="21"/>
      <c r="F189" s="21">
        <f t="shared" si="20"/>
        <v>0</v>
      </c>
      <c r="G189" s="21"/>
      <c r="H189" s="21"/>
    </row>
    <row r="190" hidden="1" spans="1:8">
      <c r="A190" s="20"/>
      <c r="B190" s="30"/>
      <c r="C190" s="32"/>
      <c r="D190" s="21"/>
      <c r="E190" s="21"/>
      <c r="F190" s="21">
        <f t="shared" si="20"/>
        <v>0</v>
      </c>
      <c r="G190" s="21"/>
      <c r="H190" s="21"/>
    </row>
    <row r="191" hidden="1" spans="1:8">
      <c r="A191" s="20"/>
      <c r="B191" s="30"/>
      <c r="C191" s="32"/>
      <c r="D191" s="21"/>
      <c r="E191" s="21"/>
      <c r="F191" s="21">
        <f t="shared" si="20"/>
        <v>0</v>
      </c>
      <c r="G191" s="21"/>
      <c r="H191" s="21"/>
    </row>
    <row r="192" hidden="1" spans="1:8">
      <c r="A192" s="20"/>
      <c r="B192" s="30"/>
      <c r="C192" s="32"/>
      <c r="D192" s="21"/>
      <c r="E192" s="21"/>
      <c r="F192" s="21">
        <f t="shared" si="20"/>
        <v>0</v>
      </c>
      <c r="G192" s="21"/>
      <c r="H192" s="21"/>
    </row>
    <row r="193" hidden="1" spans="1:8">
      <c r="A193" s="20"/>
      <c r="B193" s="30"/>
      <c r="C193" s="32"/>
      <c r="D193" s="21"/>
      <c r="E193" s="21"/>
      <c r="F193" s="21">
        <f t="shared" si="20"/>
        <v>0</v>
      </c>
      <c r="G193" s="21"/>
      <c r="H193" s="21"/>
    </row>
    <row r="194" hidden="1" spans="1:8">
      <c r="A194" s="20"/>
      <c r="B194" s="80" t="s">
        <v>693</v>
      </c>
      <c r="C194" s="93"/>
      <c r="D194" s="21"/>
      <c r="E194" s="21"/>
      <c r="F194" s="21">
        <f t="shared" si="20"/>
        <v>0</v>
      </c>
      <c r="G194" s="21"/>
      <c r="H194" s="21"/>
    </row>
    <row r="195" s="4" customFormat="1" ht="14.25" hidden="1" spans="1:11">
      <c r="A195" s="23"/>
      <c r="B195" s="45" t="s">
        <v>387</v>
      </c>
      <c r="C195" s="46"/>
      <c r="D195" s="24">
        <f>D182+D184</f>
        <v>0</v>
      </c>
      <c r="E195" s="24"/>
      <c r="F195" s="24">
        <f>SUM(F168:F194)</f>
        <v>0</v>
      </c>
      <c r="G195" s="24">
        <f t="shared" ref="G195:H195" si="22">SUM(G168:G194)</f>
        <v>0</v>
      </c>
      <c r="H195" s="24">
        <f t="shared" si="22"/>
        <v>0</v>
      </c>
      <c r="I195" s="44"/>
      <c r="J195" s="44"/>
      <c r="K195" s="44"/>
    </row>
    <row r="196" hidden="1"/>
    <row r="197" s="5" customFormat="1" ht="14.25" hidden="1" spans="1:11">
      <c r="A197" s="5" t="s">
        <v>527</v>
      </c>
      <c r="B197" s="15"/>
      <c r="C197" s="15"/>
      <c r="D197" s="15"/>
      <c r="E197" s="15"/>
      <c r="F197" s="15"/>
      <c r="G197" s="15"/>
      <c r="H197" s="15"/>
      <c r="I197" s="15"/>
      <c r="J197" s="15"/>
      <c r="K197" s="15"/>
    </row>
    <row r="198" hidden="1"/>
    <row r="199" ht="24" hidden="1" spans="1:8">
      <c r="A199" s="25" t="s">
        <v>389</v>
      </c>
      <c r="B199" s="27" t="s">
        <v>416</v>
      </c>
      <c r="C199" s="29"/>
      <c r="D199" s="18" t="s">
        <v>462</v>
      </c>
      <c r="E199" s="18" t="s">
        <v>467</v>
      </c>
      <c r="F199" s="18" t="s">
        <v>410</v>
      </c>
      <c r="G199" s="18" t="s">
        <v>411</v>
      </c>
      <c r="H199" s="18" t="s">
        <v>412</v>
      </c>
    </row>
    <row r="200" hidden="1" spans="1:8">
      <c r="A200" s="19">
        <v>1</v>
      </c>
      <c r="B200" s="30">
        <v>2</v>
      </c>
      <c r="C200" s="32"/>
      <c r="D200" s="19">
        <v>3</v>
      </c>
      <c r="E200" s="19">
        <v>4</v>
      </c>
      <c r="F200" s="19">
        <v>5</v>
      </c>
      <c r="G200" s="19">
        <v>6</v>
      </c>
      <c r="H200" s="19">
        <v>7</v>
      </c>
    </row>
    <row r="201" hidden="1" spans="1:8">
      <c r="A201" s="20">
        <v>1</v>
      </c>
      <c r="B201" s="30"/>
      <c r="C201" s="32"/>
      <c r="D201" s="21"/>
      <c r="E201" s="21"/>
      <c r="F201" s="21">
        <f>D201*E201</f>
        <v>0</v>
      </c>
      <c r="G201" s="21"/>
      <c r="H201" s="21"/>
    </row>
    <row r="202" hidden="1" spans="1:8">
      <c r="A202" s="37"/>
      <c r="B202" s="86"/>
      <c r="C202" s="87"/>
      <c r="D202" s="87"/>
      <c r="E202" s="21"/>
      <c r="F202" s="21">
        <f t="shared" ref="F202:F222" si="23">D202*E202</f>
        <v>0</v>
      </c>
      <c r="G202" s="21"/>
      <c r="H202" s="21"/>
    </row>
    <row r="203" hidden="1" spans="1:8">
      <c r="A203" s="37"/>
      <c r="B203" s="88"/>
      <c r="C203" s="87"/>
      <c r="D203" s="87"/>
      <c r="E203" s="21"/>
      <c r="F203" s="21">
        <f t="shared" si="23"/>
        <v>0</v>
      </c>
      <c r="G203" s="21"/>
      <c r="H203" s="21"/>
    </row>
    <row r="204" hidden="1" spans="1:8">
      <c r="A204" s="37"/>
      <c r="B204" s="86"/>
      <c r="C204" s="87"/>
      <c r="D204" s="87"/>
      <c r="E204" s="21"/>
      <c r="F204" s="21">
        <f t="shared" si="23"/>
        <v>0</v>
      </c>
      <c r="G204" s="21"/>
      <c r="H204" s="21"/>
    </row>
    <row r="205" hidden="1" spans="1:8">
      <c r="A205" s="37"/>
      <c r="B205" s="86"/>
      <c r="C205" s="87"/>
      <c r="D205" s="87"/>
      <c r="E205" s="21"/>
      <c r="F205" s="21">
        <f t="shared" si="23"/>
        <v>0</v>
      </c>
      <c r="G205" s="21"/>
      <c r="H205" s="21"/>
    </row>
    <row r="206" hidden="1" spans="1:8">
      <c r="A206" s="37"/>
      <c r="B206" s="86"/>
      <c r="C206" s="87"/>
      <c r="D206" s="87"/>
      <c r="E206" s="21"/>
      <c r="F206" s="21">
        <f t="shared" si="23"/>
        <v>0</v>
      </c>
      <c r="G206" s="21"/>
      <c r="H206" s="21"/>
    </row>
    <row r="207" hidden="1" spans="1:8">
      <c r="A207" s="37"/>
      <c r="B207" s="30"/>
      <c r="C207" s="32"/>
      <c r="D207" s="57"/>
      <c r="E207" s="21"/>
      <c r="F207" s="21">
        <f t="shared" si="23"/>
        <v>0</v>
      </c>
      <c r="G207" s="21"/>
      <c r="H207" s="21"/>
    </row>
    <row r="208" hidden="1" spans="1:8">
      <c r="A208" s="37"/>
      <c r="B208" s="30"/>
      <c r="C208" s="32"/>
      <c r="D208" s="21"/>
      <c r="E208" s="21"/>
      <c r="F208" s="21">
        <f t="shared" si="23"/>
        <v>0</v>
      </c>
      <c r="G208" s="21"/>
      <c r="H208" s="21"/>
    </row>
    <row r="209" hidden="1" spans="1:8">
      <c r="A209" s="37"/>
      <c r="B209" s="30"/>
      <c r="C209" s="32"/>
      <c r="D209" s="21"/>
      <c r="E209" s="21"/>
      <c r="F209" s="21">
        <f t="shared" si="23"/>
        <v>0</v>
      </c>
      <c r="G209" s="21"/>
      <c r="H209" s="21"/>
    </row>
    <row r="210" hidden="1" spans="1:8">
      <c r="A210" s="37"/>
      <c r="B210" s="30"/>
      <c r="C210" s="32"/>
      <c r="D210" s="21"/>
      <c r="E210" s="21"/>
      <c r="F210" s="21">
        <f t="shared" si="23"/>
        <v>0</v>
      </c>
      <c r="G210" s="21"/>
      <c r="H210" s="21"/>
    </row>
    <row r="211" hidden="1" spans="1:8">
      <c r="A211" s="37"/>
      <c r="B211" s="30"/>
      <c r="C211" s="32"/>
      <c r="D211" s="21"/>
      <c r="E211" s="21"/>
      <c r="F211" s="21">
        <f t="shared" si="23"/>
        <v>0</v>
      </c>
      <c r="G211" s="21"/>
      <c r="H211" s="21"/>
    </row>
    <row r="212" hidden="1" spans="1:8">
      <c r="A212" s="37"/>
      <c r="B212" s="30"/>
      <c r="C212" s="32"/>
      <c r="D212" s="21"/>
      <c r="E212" s="21"/>
      <c r="F212" s="21">
        <f t="shared" si="23"/>
        <v>0</v>
      </c>
      <c r="G212" s="21"/>
      <c r="H212" s="21"/>
    </row>
    <row r="213" hidden="1" spans="1:8">
      <c r="A213" s="37"/>
      <c r="B213" s="30"/>
      <c r="C213" s="32"/>
      <c r="D213" s="21"/>
      <c r="E213" s="21"/>
      <c r="F213" s="21">
        <f t="shared" si="23"/>
        <v>0</v>
      </c>
      <c r="G213" s="21"/>
      <c r="H213" s="21"/>
    </row>
    <row r="214" hidden="1" spans="1:8">
      <c r="A214" s="37"/>
      <c r="B214" s="30"/>
      <c r="C214" s="32"/>
      <c r="D214" s="21"/>
      <c r="E214" s="21"/>
      <c r="F214" s="21">
        <f t="shared" si="23"/>
        <v>0</v>
      </c>
      <c r="G214" s="21"/>
      <c r="H214" s="21"/>
    </row>
    <row r="215" hidden="1" spans="1:8">
      <c r="A215" s="37"/>
      <c r="B215" s="30"/>
      <c r="C215" s="32"/>
      <c r="D215" s="21"/>
      <c r="E215" s="21"/>
      <c r="F215" s="21">
        <f t="shared" si="23"/>
        <v>0</v>
      </c>
      <c r="G215" s="21"/>
      <c r="H215" s="21"/>
    </row>
    <row r="216" hidden="1" spans="1:8">
      <c r="A216" s="37"/>
      <c r="B216" s="30"/>
      <c r="C216" s="32"/>
      <c r="D216" s="21"/>
      <c r="E216" s="21"/>
      <c r="F216" s="21">
        <f t="shared" si="23"/>
        <v>0</v>
      </c>
      <c r="G216" s="21"/>
      <c r="H216" s="21"/>
    </row>
    <row r="217" hidden="1" spans="1:8">
      <c r="A217" s="37"/>
      <c r="B217" s="30"/>
      <c r="C217" s="32"/>
      <c r="D217" s="21"/>
      <c r="E217" s="21"/>
      <c r="F217" s="21">
        <f t="shared" si="23"/>
        <v>0</v>
      </c>
      <c r="G217" s="21"/>
      <c r="H217" s="21"/>
    </row>
    <row r="218" hidden="1" spans="1:8">
      <c r="A218" s="37"/>
      <c r="B218" s="30"/>
      <c r="C218" s="32"/>
      <c r="D218" s="21"/>
      <c r="E218" s="21"/>
      <c r="F218" s="21">
        <f t="shared" si="23"/>
        <v>0</v>
      </c>
      <c r="G218" s="21"/>
      <c r="H218" s="21"/>
    </row>
    <row r="219" hidden="1" spans="1:8">
      <c r="A219" s="20"/>
      <c r="B219" s="30"/>
      <c r="C219" s="32"/>
      <c r="D219" s="21"/>
      <c r="E219" s="21"/>
      <c r="F219" s="21">
        <f t="shared" si="23"/>
        <v>0</v>
      </c>
      <c r="G219" s="21"/>
      <c r="H219" s="21"/>
    </row>
    <row r="220" hidden="1" spans="1:8">
      <c r="A220" s="20"/>
      <c r="B220" s="30"/>
      <c r="C220" s="32"/>
      <c r="D220" s="21"/>
      <c r="E220" s="21"/>
      <c r="F220" s="21">
        <f t="shared" si="23"/>
        <v>0</v>
      </c>
      <c r="G220" s="21"/>
      <c r="H220" s="21"/>
    </row>
    <row r="221" hidden="1" spans="1:8">
      <c r="A221" s="20"/>
      <c r="B221" s="30"/>
      <c r="C221" s="32"/>
      <c r="D221" s="21"/>
      <c r="E221" s="21"/>
      <c r="F221" s="21">
        <f t="shared" si="23"/>
        <v>0</v>
      </c>
      <c r="G221" s="21"/>
      <c r="H221" s="21"/>
    </row>
    <row r="222" hidden="1" spans="1:8">
      <c r="A222" s="20"/>
      <c r="B222" s="30"/>
      <c r="C222" s="32"/>
      <c r="D222" s="21"/>
      <c r="E222" s="21"/>
      <c r="F222" s="21">
        <f t="shared" si="23"/>
        <v>0</v>
      </c>
      <c r="G222" s="21"/>
      <c r="H222" s="21"/>
    </row>
    <row r="223" s="4" customFormat="1" ht="14.25" hidden="1" spans="1:11">
      <c r="A223" s="23"/>
      <c r="B223" s="45" t="s">
        <v>387</v>
      </c>
      <c r="C223" s="46"/>
      <c r="D223" s="24"/>
      <c r="E223" s="24"/>
      <c r="F223" s="24">
        <f>SUM(F201:F222)</f>
        <v>0</v>
      </c>
      <c r="G223" s="24">
        <f t="shared" ref="G223:H223" si="24">SUM(G201:G222)</f>
        <v>0</v>
      </c>
      <c r="H223" s="24">
        <f t="shared" si="24"/>
        <v>0</v>
      </c>
      <c r="I223" s="44"/>
      <c r="J223" s="44"/>
      <c r="K223" s="44"/>
    </row>
    <row r="224" ht="15.75"/>
    <row r="225" ht="15.75" spans="1:8">
      <c r="A225" s="65"/>
      <c r="B225" s="66" t="s">
        <v>554</v>
      </c>
      <c r="C225" s="67"/>
      <c r="D225" s="67"/>
      <c r="E225" s="68"/>
      <c r="F225" s="69">
        <f>F223+F195+F162+F138+G126+F114+G102+F89+F77+F65+F53+F40+I28</f>
        <v>3000</v>
      </c>
      <c r="G225" s="69">
        <f>G223+G195+G162+G138+H126+G114+H102+G89+G77+G65+G53+G40+J28</f>
        <v>0</v>
      </c>
      <c r="H225" s="69">
        <f>H223+H195+H162+H138+I126+H114+I102+H89+H77+H65+H53+H40+K28</f>
        <v>0</v>
      </c>
    </row>
    <row r="228" s="6" customFormat="1" ht="20.25" customHeight="1" spans="1:21">
      <c r="A228" s="6" t="s">
        <v>267</v>
      </c>
      <c r="D228" s="70" t="str">
        <f>закупки!AQ30</f>
        <v>Заведующий</v>
      </c>
      <c r="E228" s="71"/>
      <c r="F228" s="70"/>
      <c r="G228" s="71"/>
      <c r="H228" s="70" t="str">
        <f>закупки!BY30</f>
        <v>Измайлова Н.В.</v>
      </c>
      <c r="I228" s="70"/>
      <c r="J228" s="71"/>
      <c r="K228" s="71"/>
      <c r="L228" s="71"/>
      <c r="M228" s="71"/>
      <c r="N228" s="71"/>
      <c r="O228" s="71"/>
      <c r="P228" s="71"/>
      <c r="Q228" s="71"/>
      <c r="R228" s="71"/>
      <c r="S228" s="71"/>
      <c r="T228" s="71"/>
      <c r="U228" s="77"/>
    </row>
    <row r="229" s="6" customFormat="1" ht="20.25" customHeight="1" spans="1:21">
      <c r="A229" s="6" t="s">
        <v>268</v>
      </c>
      <c r="D229" s="72" t="s">
        <v>555</v>
      </c>
      <c r="E229" s="73"/>
      <c r="F229" s="72" t="s">
        <v>556</v>
      </c>
      <c r="G229" s="73"/>
      <c r="H229" s="74" t="s">
        <v>557</v>
      </c>
      <c r="I229" s="74"/>
      <c r="J229" s="73"/>
      <c r="K229" s="73"/>
      <c r="L229" s="73"/>
      <c r="M229" s="73"/>
      <c r="N229" s="73"/>
      <c r="O229" s="73"/>
      <c r="P229" s="73"/>
      <c r="Q229" s="73"/>
      <c r="R229" s="73"/>
      <c r="S229" s="73"/>
      <c r="T229" s="73"/>
      <c r="U229" s="77"/>
    </row>
    <row r="230" s="6" customFormat="1" spans="1:1">
      <c r="A230" s="75"/>
    </row>
    <row r="231" s="6" customFormat="1" spans="1:8">
      <c r="A231" s="75" t="s">
        <v>271</v>
      </c>
      <c r="B231" s="75"/>
      <c r="C231" s="70" t="str">
        <f>закупки!AM33</f>
        <v>Гл.бухгалтер</v>
      </c>
      <c r="D231" s="71"/>
      <c r="E231" s="70" t="str">
        <f>закупки!BG33</f>
        <v>Родионова Н.А.</v>
      </c>
      <c r="F231" s="71"/>
      <c r="G231" s="76" t="str">
        <f>закупки!CA33</f>
        <v>31-55-99</v>
      </c>
      <c r="H231" s="70"/>
    </row>
    <row r="232" s="6" customFormat="1" spans="3:8">
      <c r="C232" s="72" t="s">
        <v>558</v>
      </c>
      <c r="D232" s="73"/>
      <c r="E232" s="74" t="s">
        <v>275</v>
      </c>
      <c r="F232" s="73"/>
      <c r="G232" s="74" t="s">
        <v>276</v>
      </c>
      <c r="H232" s="74"/>
    </row>
    <row r="233" s="6" customFormat="1"/>
    <row r="234" s="6" customFormat="1"/>
    <row r="235" s="6" customFormat="1"/>
    <row r="236" s="6" customFormat="1"/>
    <row r="237" s="6" customFormat="1" customHeight="1" spans="1:5">
      <c r="A237" s="75" t="s">
        <v>559</v>
      </c>
      <c r="B237" s="75"/>
      <c r="C237" s="75"/>
      <c r="D237" s="75"/>
      <c r="E237" s="75"/>
    </row>
  </sheetData>
  <mergeCells count="134">
    <mergeCell ref="J1:K1"/>
    <mergeCell ref="I2:K2"/>
    <mergeCell ref="A3:K3"/>
    <mergeCell ref="A6:K6"/>
    <mergeCell ref="A8:B8"/>
    <mergeCell ref="A10:C10"/>
    <mergeCell ref="D15:G15"/>
    <mergeCell ref="A42:H42"/>
    <mergeCell ref="B44:D44"/>
    <mergeCell ref="B45:D45"/>
    <mergeCell ref="B46:D46"/>
    <mergeCell ref="B47:D47"/>
    <mergeCell ref="B48:D48"/>
    <mergeCell ref="B49:D49"/>
    <mergeCell ref="B50:D50"/>
    <mergeCell ref="B51:D51"/>
    <mergeCell ref="B52:D52"/>
    <mergeCell ref="B53:D53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A79:H79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4:C94"/>
    <mergeCell ref="B95:C95"/>
    <mergeCell ref="B96:C96"/>
    <mergeCell ref="B97:C97"/>
    <mergeCell ref="B100:C100"/>
    <mergeCell ref="B101:C101"/>
    <mergeCell ref="B102:C102"/>
    <mergeCell ref="B106:C106"/>
    <mergeCell ref="B107:C107"/>
    <mergeCell ref="B108:C108"/>
    <mergeCell ref="B109:C109"/>
    <mergeCell ref="B110:C110"/>
    <mergeCell ref="B111:C111"/>
    <mergeCell ref="B112:C112"/>
    <mergeCell ref="B113:C113"/>
    <mergeCell ref="B114:C114"/>
    <mergeCell ref="B118:C118"/>
    <mergeCell ref="B119:C119"/>
    <mergeCell ref="B120:C120"/>
    <mergeCell ref="B121:C121"/>
    <mergeCell ref="B122:C122"/>
    <mergeCell ref="B123:C123"/>
    <mergeCell ref="B124:C124"/>
    <mergeCell ref="B125:C125"/>
    <mergeCell ref="B126:C126"/>
    <mergeCell ref="B130:C130"/>
    <mergeCell ref="B131:C131"/>
    <mergeCell ref="B132:C132"/>
    <mergeCell ref="B133:C133"/>
    <mergeCell ref="B134:C134"/>
    <mergeCell ref="B135:C135"/>
    <mergeCell ref="B136:C136"/>
    <mergeCell ref="B137:C137"/>
    <mergeCell ref="B138:C138"/>
    <mergeCell ref="B142:C142"/>
    <mergeCell ref="B143:C143"/>
    <mergeCell ref="B144:C144"/>
    <mergeCell ref="B145:C145"/>
    <mergeCell ref="B158:C158"/>
    <mergeCell ref="B159:C159"/>
    <mergeCell ref="B160:C160"/>
    <mergeCell ref="B161:C161"/>
    <mergeCell ref="B162:C162"/>
    <mergeCell ref="B166:C166"/>
    <mergeCell ref="B167:C167"/>
    <mergeCell ref="B168:C168"/>
    <mergeCell ref="B169:C169"/>
    <mergeCell ref="B170:C170"/>
    <mergeCell ref="B171:C171"/>
    <mergeCell ref="B172:C172"/>
    <mergeCell ref="B173:C173"/>
    <mergeCell ref="B174:C174"/>
    <mergeCell ref="B175:C175"/>
    <mergeCell ref="B176:C176"/>
    <mergeCell ref="B177:C177"/>
    <mergeCell ref="B178:C178"/>
    <mergeCell ref="B179:C179"/>
    <mergeCell ref="B180:C180"/>
    <mergeCell ref="B181:C181"/>
    <mergeCell ref="B182:C182"/>
    <mergeCell ref="B183:C183"/>
    <mergeCell ref="B184:C184"/>
    <mergeCell ref="B192:C192"/>
    <mergeCell ref="B193:C193"/>
    <mergeCell ref="B194:C194"/>
    <mergeCell ref="B195:C195"/>
    <mergeCell ref="B199:C199"/>
    <mergeCell ref="B200:C200"/>
    <mergeCell ref="B201:C201"/>
    <mergeCell ref="B219:C219"/>
    <mergeCell ref="B220:C220"/>
    <mergeCell ref="B221:C221"/>
    <mergeCell ref="B222:C222"/>
    <mergeCell ref="B223:C223"/>
    <mergeCell ref="B225:E225"/>
    <mergeCell ref="A228:C228"/>
    <mergeCell ref="A229:C229"/>
    <mergeCell ref="A231:B231"/>
    <mergeCell ref="G232:H232"/>
    <mergeCell ref="A237:E237"/>
    <mergeCell ref="A15:A17"/>
    <mergeCell ref="B15:B17"/>
    <mergeCell ref="C15:C17"/>
    <mergeCell ref="D16:D17"/>
    <mergeCell ref="H15:H17"/>
    <mergeCell ref="I15:I17"/>
    <mergeCell ref="J15:J17"/>
    <mergeCell ref="K15:K17"/>
  </mergeCells>
  <pageMargins left="0.7" right="0.7" top="0.75" bottom="0.75" header="0.3" footer="0.3"/>
  <pageSetup paperSize="9" scale="62" orientation="portrait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230"/>
  <sheetViews>
    <sheetView topLeftCell="A170" workbookViewId="0">
      <selection activeCell="G242" sqref="G242"/>
    </sheetView>
  </sheetViews>
  <sheetFormatPr defaultColWidth="9.14285714285714" defaultRowHeight="15"/>
  <cols>
    <col min="1" max="1" width="8.85714285714286" style="7" customWidth="1"/>
    <col min="2" max="2" width="17.7142857142857" style="8" customWidth="1"/>
    <col min="3" max="3" width="14.2857142857143" style="8" customWidth="1"/>
    <col min="4" max="5" width="14" style="8" customWidth="1"/>
    <col min="6" max="6" width="16" style="8" customWidth="1"/>
    <col min="7" max="7" width="14.5714285714286" style="8" customWidth="1"/>
    <col min="8" max="8" width="13.7142857142857" style="8" customWidth="1"/>
    <col min="9" max="9" width="15.2857142857143" style="8" customWidth="1"/>
    <col min="10" max="10" width="14.5714285714286" style="8" customWidth="1"/>
    <col min="11" max="11" width="14.1428571428571" style="8" customWidth="1"/>
    <col min="12" max="12" width="17.7142857142857" style="7" customWidth="1"/>
    <col min="13" max="16384" width="9.14285714285714" style="7"/>
  </cols>
  <sheetData>
    <row r="1" hidden="1" spans="9:11">
      <c r="I1" s="6"/>
      <c r="J1" s="40" t="s">
        <v>362</v>
      </c>
      <c r="K1" s="40"/>
    </row>
    <row r="2" hidden="1" spans="9:11">
      <c r="I2" s="41" t="s">
        <v>285</v>
      </c>
      <c r="J2" s="41"/>
      <c r="K2" s="41"/>
    </row>
    <row r="3" ht="15.75" spans="1:11">
      <c r="A3" s="9" t="s">
        <v>363</v>
      </c>
      <c r="B3" s="9"/>
      <c r="C3" s="9"/>
      <c r="D3" s="9"/>
      <c r="E3" s="9"/>
      <c r="F3" s="9"/>
      <c r="G3" s="9"/>
      <c r="H3" s="9"/>
      <c r="I3" s="9"/>
      <c r="J3" s="9"/>
      <c r="K3" s="9"/>
    </row>
    <row r="6" spans="1:11">
      <c r="A6" s="10" t="s">
        <v>364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8" spans="1:3">
      <c r="A8" s="11" t="s">
        <v>365</v>
      </c>
      <c r="B8" s="11"/>
      <c r="C8" s="12" t="s">
        <v>180</v>
      </c>
    </row>
    <row r="10" spans="1:4">
      <c r="A10" s="11" t="s">
        <v>366</v>
      </c>
      <c r="B10" s="11"/>
      <c r="C10" s="11"/>
      <c r="D10" s="13" t="s">
        <v>709</v>
      </c>
    </row>
    <row r="11" spans="1:3">
      <c r="A11" s="11"/>
      <c r="B11" s="11"/>
      <c r="C11" s="11"/>
    </row>
    <row r="12" hidden="1" spans="1:4">
      <c r="A12" s="14" t="s">
        <v>368</v>
      </c>
      <c r="B12" s="15"/>
      <c r="C12" s="15"/>
      <c r="D12" s="15"/>
    </row>
    <row r="13" hidden="1" spans="1:4">
      <c r="A13" s="14" t="s">
        <v>369</v>
      </c>
      <c r="B13" s="15"/>
      <c r="C13" s="15"/>
      <c r="D13" s="15"/>
    </row>
    <row r="14" hidden="1"/>
    <row r="15" s="1" customFormat="1" ht="12" hidden="1" spans="1:11">
      <c r="A15" s="16"/>
      <c r="B15" s="17" t="s">
        <v>370</v>
      </c>
      <c r="C15" s="17" t="s">
        <v>371</v>
      </c>
      <c r="D15" s="17" t="s">
        <v>372</v>
      </c>
      <c r="E15" s="17"/>
      <c r="F15" s="17"/>
      <c r="G15" s="17"/>
      <c r="H15" s="17" t="s">
        <v>373</v>
      </c>
      <c r="I15" s="17" t="s">
        <v>374</v>
      </c>
      <c r="J15" s="17" t="s">
        <v>375</v>
      </c>
      <c r="K15" s="17" t="s">
        <v>376</v>
      </c>
    </row>
    <row r="16" s="1" customFormat="1" ht="12" hidden="1" spans="1:11">
      <c r="A16" s="16"/>
      <c r="B16" s="17"/>
      <c r="C16" s="17"/>
      <c r="D16" s="16" t="s">
        <v>377</v>
      </c>
      <c r="E16" s="16" t="s">
        <v>54</v>
      </c>
      <c r="F16" s="16"/>
      <c r="G16" s="16"/>
      <c r="H16" s="17"/>
      <c r="I16" s="17"/>
      <c r="J16" s="17"/>
      <c r="K16" s="17"/>
    </row>
    <row r="17" s="2" customFormat="1" ht="36" hidden="1" spans="1:11">
      <c r="A17" s="16"/>
      <c r="B17" s="17"/>
      <c r="C17" s="17"/>
      <c r="D17" s="16"/>
      <c r="E17" s="18" t="s">
        <v>378</v>
      </c>
      <c r="F17" s="18" t="s">
        <v>379</v>
      </c>
      <c r="G17" s="18" t="s">
        <v>380</v>
      </c>
      <c r="H17" s="17"/>
      <c r="I17" s="17"/>
      <c r="J17" s="17"/>
      <c r="K17" s="17"/>
    </row>
    <row r="18" s="3" customFormat="1" hidden="1" spans="1:11">
      <c r="A18" s="19">
        <v>1</v>
      </c>
      <c r="B18" s="19">
        <v>2</v>
      </c>
      <c r="C18" s="19">
        <v>3</v>
      </c>
      <c r="D18" s="19">
        <v>4</v>
      </c>
      <c r="E18" s="19">
        <v>5</v>
      </c>
      <c r="F18" s="19">
        <v>6</v>
      </c>
      <c r="G18" s="19">
        <v>7</v>
      </c>
      <c r="H18" s="19">
        <v>8</v>
      </c>
      <c r="I18" s="19">
        <v>9</v>
      </c>
      <c r="J18" s="19">
        <v>10</v>
      </c>
      <c r="K18" s="19">
        <v>11</v>
      </c>
    </row>
    <row r="19" s="3" customFormat="1" hidden="1" spans="1:11">
      <c r="A19" s="19"/>
      <c r="B19" s="19" t="s">
        <v>381</v>
      </c>
      <c r="C19" s="19"/>
      <c r="D19" s="19"/>
      <c r="E19" s="19"/>
      <c r="F19" s="19"/>
      <c r="G19" s="19"/>
      <c r="H19" s="19"/>
      <c r="I19" s="19"/>
      <c r="J19" s="19"/>
      <c r="K19" s="19"/>
    </row>
    <row r="20" ht="24" hidden="1" spans="1:11">
      <c r="A20" s="20">
        <v>1</v>
      </c>
      <c r="B20" s="18" t="s">
        <v>382</v>
      </c>
      <c r="C20" s="21"/>
      <c r="D20" s="21">
        <f>E20+F20+G20</f>
        <v>0</v>
      </c>
      <c r="E20" s="21"/>
      <c r="F20" s="21"/>
      <c r="G20" s="21"/>
      <c r="H20" s="21"/>
      <c r="I20" s="21">
        <f>C20*D20+H20</f>
        <v>0</v>
      </c>
      <c r="J20" s="21"/>
      <c r="K20" s="21"/>
    </row>
    <row r="21" hidden="1" spans="1:11">
      <c r="A21" s="20">
        <v>2</v>
      </c>
      <c r="B21" s="18" t="s">
        <v>383</v>
      </c>
      <c r="C21" s="21"/>
      <c r="D21" s="21">
        <f t="shared" ref="D21:D23" si="0">E21+F21+G21</f>
        <v>0</v>
      </c>
      <c r="E21" s="21"/>
      <c r="F21" s="21"/>
      <c r="G21" s="21"/>
      <c r="H21" s="21"/>
      <c r="I21" s="21">
        <f t="shared" ref="I21:I23" si="1">C21*D21+H21</f>
        <v>0</v>
      </c>
      <c r="J21" s="21"/>
      <c r="K21" s="21"/>
    </row>
    <row r="22" hidden="1" spans="1:11">
      <c r="A22" s="20">
        <v>3</v>
      </c>
      <c r="B22" s="18" t="s">
        <v>384</v>
      </c>
      <c r="C22" s="21"/>
      <c r="D22" s="21">
        <f t="shared" si="0"/>
        <v>0</v>
      </c>
      <c r="E22" s="21"/>
      <c r="F22" s="21"/>
      <c r="G22" s="21"/>
      <c r="H22" s="21"/>
      <c r="I22" s="36">
        <f>ROUND((C22*D22+H22)*7,0)</f>
        <v>0</v>
      </c>
      <c r="J22" s="36"/>
      <c r="K22" s="42"/>
    </row>
    <row r="23" hidden="1" spans="1:11">
      <c r="A23" s="19"/>
      <c r="B23" s="19"/>
      <c r="C23" s="19"/>
      <c r="D23" s="21">
        <f t="shared" si="0"/>
        <v>0</v>
      </c>
      <c r="E23" s="21"/>
      <c r="F23" s="21"/>
      <c r="G23" s="21"/>
      <c r="H23" s="21"/>
      <c r="I23" s="36">
        <f t="shared" si="1"/>
        <v>0</v>
      </c>
      <c r="J23" s="36"/>
      <c r="K23" s="36"/>
    </row>
    <row r="24" s="3" customFormat="1" hidden="1" spans="1:11">
      <c r="A24" s="19"/>
      <c r="B24" s="19" t="s">
        <v>572</v>
      </c>
      <c r="C24" s="19"/>
      <c r="D24" s="19"/>
      <c r="E24" s="19"/>
      <c r="F24" s="19"/>
      <c r="G24" s="19"/>
      <c r="H24" s="19"/>
      <c r="I24" s="19"/>
      <c r="J24" s="19"/>
      <c r="K24" s="19"/>
    </row>
    <row r="25" ht="24" hidden="1" spans="1:11">
      <c r="A25" s="20">
        <v>1</v>
      </c>
      <c r="B25" s="18" t="s">
        <v>382</v>
      </c>
      <c r="C25" s="21"/>
      <c r="D25" s="21">
        <f>E25+F25+G25</f>
        <v>0</v>
      </c>
      <c r="E25" s="21"/>
      <c r="F25" s="21"/>
      <c r="G25" s="21"/>
      <c r="H25" s="21"/>
      <c r="I25" s="21">
        <f>C25*D25+H25</f>
        <v>0</v>
      </c>
      <c r="J25" s="21"/>
      <c r="K25" s="21"/>
    </row>
    <row r="26" hidden="1" spans="1:11">
      <c r="A26" s="20">
        <v>2</v>
      </c>
      <c r="B26" s="18" t="s">
        <v>383</v>
      </c>
      <c r="C26" s="21"/>
      <c r="D26" s="21">
        <f t="shared" ref="D26:D27" si="2">E26+F26+G26</f>
        <v>0</v>
      </c>
      <c r="E26" s="21"/>
      <c r="F26" s="21"/>
      <c r="G26" s="21"/>
      <c r="H26" s="21"/>
      <c r="I26" s="21">
        <f t="shared" ref="I26" si="3">C26*D26+H26</f>
        <v>0</v>
      </c>
      <c r="J26" s="21"/>
      <c r="K26" s="21"/>
    </row>
    <row r="27" hidden="1" spans="1:11">
      <c r="A27" s="20">
        <v>3</v>
      </c>
      <c r="B27" s="18" t="s">
        <v>384</v>
      </c>
      <c r="C27" s="21"/>
      <c r="D27" s="21">
        <f t="shared" si="2"/>
        <v>0</v>
      </c>
      <c r="E27" s="21"/>
      <c r="F27" s="21"/>
      <c r="G27" s="21"/>
      <c r="H27" s="21"/>
      <c r="I27" s="36">
        <f>ROUND((C27*D27+H27)*1,0)</f>
        <v>0</v>
      </c>
      <c r="J27" s="36"/>
      <c r="K27" s="42"/>
    </row>
    <row r="28" s="4" customFormat="1" ht="14.25" hidden="1" spans="1:11">
      <c r="A28" s="23" t="s">
        <v>387</v>
      </c>
      <c r="B28" s="24"/>
      <c r="C28" s="24"/>
      <c r="D28" s="24"/>
      <c r="E28" s="24"/>
      <c r="F28" s="24"/>
      <c r="G28" s="24"/>
      <c r="H28" s="24"/>
      <c r="I28" s="39">
        <f>SUM(I20:I27)</f>
        <v>0</v>
      </c>
      <c r="J28" s="39">
        <f>SUM(J20:J27)</f>
        <v>0</v>
      </c>
      <c r="K28" s="39">
        <f>SUM(K20:K27)</f>
        <v>0</v>
      </c>
    </row>
    <row r="29" hidden="1"/>
    <row r="30" s="5" customFormat="1" ht="14.25" hidden="1" spans="1:11">
      <c r="A30" s="5" t="s">
        <v>388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</row>
    <row r="31" hidden="1"/>
    <row r="32" s="1" customFormat="1" ht="48" hidden="1" spans="1:11">
      <c r="A32" s="25" t="s">
        <v>389</v>
      </c>
      <c r="B32" s="18" t="s">
        <v>390</v>
      </c>
      <c r="C32" s="18" t="s">
        <v>391</v>
      </c>
      <c r="D32" s="18" t="s">
        <v>392</v>
      </c>
      <c r="E32" s="18" t="s">
        <v>393</v>
      </c>
      <c r="F32" s="18" t="s">
        <v>394</v>
      </c>
      <c r="G32" s="18" t="s">
        <v>394</v>
      </c>
      <c r="H32" s="18" t="s">
        <v>394</v>
      </c>
      <c r="I32" s="43"/>
      <c r="J32" s="43"/>
      <c r="K32" s="43"/>
    </row>
    <row r="33" s="3" customFormat="1" hidden="1" spans="1:8">
      <c r="A33" s="19">
        <v>1</v>
      </c>
      <c r="B33" s="19">
        <v>2</v>
      </c>
      <c r="C33" s="19">
        <v>3</v>
      </c>
      <c r="D33" s="19">
        <v>4</v>
      </c>
      <c r="E33" s="19">
        <v>5</v>
      </c>
      <c r="F33" s="19">
        <v>6</v>
      </c>
      <c r="G33" s="19">
        <v>7</v>
      </c>
      <c r="H33" s="19">
        <v>8</v>
      </c>
    </row>
    <row r="34" hidden="1" spans="1:8">
      <c r="A34" s="20"/>
      <c r="B34" s="21"/>
      <c r="C34" s="21"/>
      <c r="D34" s="21"/>
      <c r="E34" s="21"/>
      <c r="F34" s="21"/>
      <c r="G34" s="21"/>
      <c r="H34" s="21"/>
    </row>
    <row r="35" hidden="1" spans="1:8">
      <c r="A35" s="20"/>
      <c r="B35" s="21"/>
      <c r="C35" s="21"/>
      <c r="D35" s="21"/>
      <c r="E35" s="21"/>
      <c r="F35" s="21"/>
      <c r="G35" s="21"/>
      <c r="H35" s="21"/>
    </row>
    <row r="36" hidden="1" spans="1:8">
      <c r="A36" s="20"/>
      <c r="B36" s="21"/>
      <c r="C36" s="21"/>
      <c r="D36" s="21"/>
      <c r="E36" s="21"/>
      <c r="F36" s="21"/>
      <c r="G36" s="21"/>
      <c r="H36" s="21"/>
    </row>
    <row r="37" hidden="1" spans="1:8">
      <c r="A37" s="20"/>
      <c r="B37" s="21"/>
      <c r="C37" s="21"/>
      <c r="D37" s="21"/>
      <c r="E37" s="21"/>
      <c r="F37" s="21"/>
      <c r="G37" s="21"/>
      <c r="H37" s="21"/>
    </row>
    <row r="38" hidden="1" spans="1:8">
      <c r="A38" s="20"/>
      <c r="B38" s="21"/>
      <c r="C38" s="21"/>
      <c r="D38" s="21"/>
      <c r="E38" s="21"/>
      <c r="F38" s="21"/>
      <c r="G38" s="21"/>
      <c r="H38" s="21"/>
    </row>
    <row r="39" hidden="1" spans="1:8">
      <c r="A39" s="20"/>
      <c r="B39" s="21"/>
      <c r="C39" s="21"/>
      <c r="D39" s="21"/>
      <c r="E39" s="21"/>
      <c r="F39" s="21"/>
      <c r="G39" s="21"/>
      <c r="H39" s="21"/>
    </row>
    <row r="40" hidden="1" spans="1:8">
      <c r="A40" s="20"/>
      <c r="B40" s="21"/>
      <c r="C40" s="21"/>
      <c r="D40" s="21"/>
      <c r="E40" s="21"/>
      <c r="F40" s="21"/>
      <c r="G40" s="21"/>
      <c r="H40" s="21"/>
    </row>
    <row r="41" hidden="1"/>
    <row r="42" hidden="1" spans="1:8">
      <c r="A42" s="26" t="s">
        <v>395</v>
      </c>
      <c r="B42" s="26"/>
      <c r="C42" s="26"/>
      <c r="D42" s="26"/>
      <c r="E42" s="26"/>
      <c r="F42" s="26"/>
      <c r="G42" s="26"/>
      <c r="H42" s="26"/>
    </row>
    <row r="43" hidden="1"/>
    <row r="44" ht="48" hidden="1" spans="1:8">
      <c r="A44" s="25" t="s">
        <v>389</v>
      </c>
      <c r="B44" s="27" t="s">
        <v>396</v>
      </c>
      <c r="C44" s="28"/>
      <c r="D44" s="29"/>
      <c r="E44" s="18" t="s">
        <v>397</v>
      </c>
      <c r="F44" s="18" t="s">
        <v>398</v>
      </c>
      <c r="G44" s="18" t="s">
        <v>399</v>
      </c>
      <c r="H44" s="18" t="s">
        <v>400</v>
      </c>
    </row>
    <row r="45" hidden="1" spans="1:8">
      <c r="A45" s="19">
        <v>1</v>
      </c>
      <c r="B45" s="30">
        <v>2</v>
      </c>
      <c r="C45" s="31"/>
      <c r="D45" s="32"/>
      <c r="E45" s="19">
        <v>3</v>
      </c>
      <c r="F45" s="19">
        <v>4</v>
      </c>
      <c r="G45" s="19">
        <v>5</v>
      </c>
      <c r="H45" s="19">
        <v>6</v>
      </c>
    </row>
    <row r="46" hidden="1" spans="1:8">
      <c r="A46" s="20">
        <v>1</v>
      </c>
      <c r="B46" s="33" t="s">
        <v>401</v>
      </c>
      <c r="C46" s="34"/>
      <c r="D46" s="35"/>
      <c r="E46" s="36"/>
      <c r="F46" s="36">
        <f>F48</f>
        <v>0</v>
      </c>
      <c r="G46" s="36">
        <f t="shared" ref="G46:H46" si="4">G48</f>
        <v>0</v>
      </c>
      <c r="H46" s="36">
        <f t="shared" si="4"/>
        <v>0</v>
      </c>
    </row>
    <row r="47" hidden="1" spans="1:8">
      <c r="A47" s="20"/>
      <c r="B47" s="33" t="s">
        <v>54</v>
      </c>
      <c r="C47" s="34"/>
      <c r="D47" s="35"/>
      <c r="E47" s="36"/>
      <c r="F47" s="36"/>
      <c r="G47" s="36"/>
      <c r="H47" s="36"/>
    </row>
    <row r="48" hidden="1" spans="1:8">
      <c r="A48" s="37"/>
      <c r="B48" s="33" t="s">
        <v>402</v>
      </c>
      <c r="C48" s="34"/>
      <c r="D48" s="35"/>
      <c r="E48" s="36">
        <f>I22+I27</f>
        <v>0</v>
      </c>
      <c r="F48" s="36">
        <f>ROUND(E48*0.22,0)</f>
        <v>0</v>
      </c>
      <c r="G48" s="36">
        <f>ROUND(J28*0.22,0)</f>
        <v>0</v>
      </c>
      <c r="H48" s="36">
        <f>ROUND(K28*0.22,0)</f>
        <v>0</v>
      </c>
    </row>
    <row r="49" hidden="1" spans="1:8">
      <c r="A49" s="20">
        <v>2</v>
      </c>
      <c r="B49" s="33" t="s">
        <v>403</v>
      </c>
      <c r="C49" s="34"/>
      <c r="D49" s="35"/>
      <c r="E49" s="36"/>
      <c r="F49" s="36">
        <f>F50+F51</f>
        <v>0</v>
      </c>
      <c r="G49" s="36">
        <f t="shared" ref="G49:H49" si="5">G50+G51</f>
        <v>0</v>
      </c>
      <c r="H49" s="36">
        <f t="shared" si="5"/>
        <v>0</v>
      </c>
    </row>
    <row r="50" hidden="1" spans="1:8">
      <c r="A50" s="20"/>
      <c r="B50" s="33" t="s">
        <v>404</v>
      </c>
      <c r="C50" s="34"/>
      <c r="D50" s="35"/>
      <c r="E50" s="36">
        <f>E48</f>
        <v>0</v>
      </c>
      <c r="F50" s="36">
        <f>ROUND(E50*0.029,0)</f>
        <v>0</v>
      </c>
      <c r="G50" s="36">
        <f>ROUND(J28*0.029,0)</f>
        <v>0</v>
      </c>
      <c r="H50" s="36">
        <f>ROUND(K28*0.029,0)</f>
        <v>0</v>
      </c>
    </row>
    <row r="51" hidden="1" spans="1:8">
      <c r="A51" s="20"/>
      <c r="B51" s="33" t="s">
        <v>405</v>
      </c>
      <c r="C51" s="34"/>
      <c r="D51" s="35"/>
      <c r="E51" s="36">
        <f>E50</f>
        <v>0</v>
      </c>
      <c r="F51" s="36">
        <f>ROUND(E51*0.002,0)</f>
        <v>0</v>
      </c>
      <c r="G51" s="36">
        <f>ROUND(J28*0.002,0)</f>
        <v>0</v>
      </c>
      <c r="H51" s="36">
        <f>ROUND(K28*0.002,0)</f>
        <v>0</v>
      </c>
    </row>
    <row r="52" hidden="1" spans="1:8">
      <c r="A52" s="20">
        <v>3</v>
      </c>
      <c r="B52" s="33" t="s">
        <v>406</v>
      </c>
      <c r="C52" s="34"/>
      <c r="D52" s="35"/>
      <c r="E52" s="36">
        <f>E51</f>
        <v>0</v>
      </c>
      <c r="F52" s="36">
        <f>ROUND(E52*0.051,0)</f>
        <v>0</v>
      </c>
      <c r="G52" s="36">
        <f>ROUND(J28*0.051,0)</f>
        <v>0</v>
      </c>
      <c r="H52" s="36">
        <f>ROUND(K28*0.051,0)</f>
        <v>0</v>
      </c>
    </row>
    <row r="53" s="4" customFormat="1" ht="14.25" hidden="1" spans="1:11">
      <c r="A53" s="23"/>
      <c r="B53" s="38" t="s">
        <v>387</v>
      </c>
      <c r="C53" s="38"/>
      <c r="D53" s="38"/>
      <c r="E53" s="39"/>
      <c r="F53" s="39">
        <f>F46+F49+F52</f>
        <v>0</v>
      </c>
      <c r="G53" s="39">
        <f t="shared" ref="G53:H53" si="6">G46+G49+G52</f>
        <v>0</v>
      </c>
      <c r="H53" s="39">
        <f t="shared" si="6"/>
        <v>0</v>
      </c>
      <c r="I53" s="44"/>
      <c r="J53" s="44"/>
      <c r="K53" s="44"/>
    </row>
    <row r="54" hidden="1"/>
    <row r="55" s="5" customFormat="1" ht="14.25" hidden="1" spans="1:11">
      <c r="A55" s="5" t="s">
        <v>407</v>
      </c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hidden="1"/>
    <row r="57" ht="24" hidden="1" spans="1:8">
      <c r="A57" s="25" t="s">
        <v>389</v>
      </c>
      <c r="B57" s="27" t="s">
        <v>24</v>
      </c>
      <c r="C57" s="29"/>
      <c r="D57" s="18" t="s">
        <v>408</v>
      </c>
      <c r="E57" s="18" t="s">
        <v>409</v>
      </c>
      <c r="F57" s="18" t="s">
        <v>410</v>
      </c>
      <c r="G57" s="18" t="s">
        <v>411</v>
      </c>
      <c r="H57" s="18" t="s">
        <v>412</v>
      </c>
    </row>
    <row r="58" hidden="1" spans="1:8">
      <c r="A58" s="19">
        <v>1</v>
      </c>
      <c r="B58" s="30">
        <v>2</v>
      </c>
      <c r="C58" s="32"/>
      <c r="D58" s="19">
        <v>3</v>
      </c>
      <c r="E58" s="19">
        <v>4</v>
      </c>
      <c r="F58" s="19">
        <v>5</v>
      </c>
      <c r="G58" s="19">
        <v>6</v>
      </c>
      <c r="H58" s="19">
        <v>7</v>
      </c>
    </row>
    <row r="59" hidden="1" spans="1:8">
      <c r="A59" s="20">
        <v>1</v>
      </c>
      <c r="B59" s="30" t="s">
        <v>413</v>
      </c>
      <c r="C59" s="32"/>
      <c r="D59" s="21"/>
      <c r="E59" s="21"/>
      <c r="F59" s="36">
        <f>D59*E59</f>
        <v>0</v>
      </c>
      <c r="G59" s="36"/>
      <c r="H59" s="36"/>
    </row>
    <row r="60" hidden="1" spans="1:8">
      <c r="A60" s="20">
        <v>2</v>
      </c>
      <c r="B60" s="30" t="s">
        <v>414</v>
      </c>
      <c r="C60" s="32"/>
      <c r="D60" s="21"/>
      <c r="E60" s="21"/>
      <c r="F60" s="36">
        <f t="shared" ref="F60:F64" si="7">D60*E60</f>
        <v>0</v>
      </c>
      <c r="G60" s="36"/>
      <c r="H60" s="36"/>
    </row>
    <row r="61" hidden="1" spans="1:8">
      <c r="A61" s="20">
        <v>1</v>
      </c>
      <c r="B61" s="78" t="s">
        <v>386</v>
      </c>
      <c r="C61" s="79"/>
      <c r="D61" s="21"/>
      <c r="E61" s="21"/>
      <c r="F61" s="36">
        <f t="shared" si="7"/>
        <v>0</v>
      </c>
      <c r="G61" s="36">
        <v>0</v>
      </c>
      <c r="H61" s="36">
        <v>0</v>
      </c>
    </row>
    <row r="62" hidden="1" spans="1:8">
      <c r="A62" s="20">
        <v>2</v>
      </c>
      <c r="B62" s="30" t="s">
        <v>574</v>
      </c>
      <c r="C62" s="32"/>
      <c r="D62" s="21"/>
      <c r="E62" s="21"/>
      <c r="F62" s="36">
        <f t="shared" si="7"/>
        <v>0</v>
      </c>
      <c r="G62" s="36">
        <v>0</v>
      </c>
      <c r="H62" s="36">
        <v>0</v>
      </c>
    </row>
    <row r="63" hidden="1" spans="1:8">
      <c r="A63" s="20">
        <v>3</v>
      </c>
      <c r="B63" s="30"/>
      <c r="C63" s="32"/>
      <c r="D63" s="21"/>
      <c r="E63" s="21"/>
      <c r="F63" s="36">
        <f t="shared" si="7"/>
        <v>0</v>
      </c>
      <c r="G63" s="36"/>
      <c r="H63" s="36"/>
    </row>
    <row r="64" hidden="1" spans="1:8">
      <c r="A64" s="20"/>
      <c r="B64" s="30"/>
      <c r="C64" s="32"/>
      <c r="D64" s="21"/>
      <c r="E64" s="21"/>
      <c r="F64" s="36">
        <f t="shared" si="7"/>
        <v>0</v>
      </c>
      <c r="G64" s="36"/>
      <c r="H64" s="36"/>
    </row>
    <row r="65" s="4" customFormat="1" ht="14.25" hidden="1" spans="1:11">
      <c r="A65" s="23"/>
      <c r="B65" s="45" t="s">
        <v>387</v>
      </c>
      <c r="C65" s="46"/>
      <c r="D65" s="24"/>
      <c r="E65" s="24"/>
      <c r="F65" s="39">
        <f>SUM(F59:F64)</f>
        <v>0</v>
      </c>
      <c r="G65" s="39">
        <f t="shared" ref="G65:H65" si="8">SUM(G59:G64)</f>
        <v>0</v>
      </c>
      <c r="H65" s="39">
        <f t="shared" si="8"/>
        <v>0</v>
      </c>
      <c r="I65" s="44"/>
      <c r="J65" s="44"/>
      <c r="K65" s="44"/>
    </row>
    <row r="66" hidden="1"/>
    <row r="67" s="5" customFormat="1" ht="14.25" hidden="1" spans="1:11">
      <c r="A67" s="5" t="s">
        <v>415</v>
      </c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hidden="1"/>
    <row r="69" ht="72" hidden="1" spans="1:8">
      <c r="A69" s="25" t="s">
        <v>389</v>
      </c>
      <c r="B69" s="27" t="s">
        <v>416</v>
      </c>
      <c r="C69" s="29"/>
      <c r="D69" s="18" t="s">
        <v>417</v>
      </c>
      <c r="E69" s="18" t="s">
        <v>418</v>
      </c>
      <c r="F69" s="18" t="s">
        <v>419</v>
      </c>
      <c r="G69" s="18" t="s">
        <v>420</v>
      </c>
      <c r="H69" s="18" t="s">
        <v>421</v>
      </c>
    </row>
    <row r="70" hidden="1" spans="1:8">
      <c r="A70" s="19">
        <v>1</v>
      </c>
      <c r="B70" s="30">
        <v>2</v>
      </c>
      <c r="C70" s="32"/>
      <c r="D70" s="19">
        <v>3</v>
      </c>
      <c r="E70" s="19">
        <v>4</v>
      </c>
      <c r="F70" s="19">
        <v>5</v>
      </c>
      <c r="G70" s="19">
        <v>6</v>
      </c>
      <c r="H70" s="19">
        <v>7</v>
      </c>
    </row>
    <row r="71" hidden="1" spans="1:8">
      <c r="A71" s="20">
        <v>1</v>
      </c>
      <c r="B71" s="47" t="s">
        <v>422</v>
      </c>
      <c r="C71" s="48"/>
      <c r="D71" s="21"/>
      <c r="E71" s="49">
        <v>0.015</v>
      </c>
      <c r="F71" s="36">
        <f>ROUND(D71*E71,0)</f>
        <v>0</v>
      </c>
      <c r="G71" s="36">
        <f>F71</f>
        <v>0</v>
      </c>
      <c r="H71" s="36">
        <f>G71</f>
        <v>0</v>
      </c>
    </row>
    <row r="72" hidden="1" spans="1:8">
      <c r="A72" s="20">
        <v>2</v>
      </c>
      <c r="B72" s="47" t="s">
        <v>422</v>
      </c>
      <c r="C72" s="48"/>
      <c r="D72" s="21"/>
      <c r="E72" s="49">
        <v>0.015</v>
      </c>
      <c r="F72" s="36">
        <f t="shared" ref="F72:F75" si="9">ROUND(D72*E72,0)</f>
        <v>0</v>
      </c>
      <c r="G72" s="36">
        <f t="shared" ref="G72:H74" si="10">F72</f>
        <v>0</v>
      </c>
      <c r="H72" s="36">
        <f t="shared" si="10"/>
        <v>0</v>
      </c>
    </row>
    <row r="73" hidden="1" spans="1:8">
      <c r="A73" s="20">
        <v>3</v>
      </c>
      <c r="B73" s="47" t="s">
        <v>422</v>
      </c>
      <c r="C73" s="48"/>
      <c r="D73" s="21"/>
      <c r="E73" s="49">
        <v>0.015</v>
      </c>
      <c r="F73" s="36">
        <f t="shared" si="9"/>
        <v>0</v>
      </c>
      <c r="G73" s="36">
        <f t="shared" si="10"/>
        <v>0</v>
      </c>
      <c r="H73" s="36">
        <f t="shared" si="10"/>
        <v>0</v>
      </c>
    </row>
    <row r="74" hidden="1" spans="1:8">
      <c r="A74" s="20">
        <v>4</v>
      </c>
      <c r="B74" s="47" t="s">
        <v>422</v>
      </c>
      <c r="C74" s="48"/>
      <c r="D74" s="21"/>
      <c r="E74" s="49">
        <v>0.015</v>
      </c>
      <c r="F74" s="36">
        <f t="shared" si="9"/>
        <v>0</v>
      </c>
      <c r="G74" s="36">
        <f t="shared" si="10"/>
        <v>0</v>
      </c>
      <c r="H74" s="36">
        <f t="shared" si="10"/>
        <v>0</v>
      </c>
    </row>
    <row r="75" hidden="1" spans="1:8">
      <c r="A75" s="20">
        <v>5</v>
      </c>
      <c r="B75" s="47" t="s">
        <v>423</v>
      </c>
      <c r="C75" s="48"/>
      <c r="D75" s="21"/>
      <c r="E75" s="49">
        <v>0.022</v>
      </c>
      <c r="F75" s="36">
        <f t="shared" si="9"/>
        <v>0</v>
      </c>
      <c r="G75" s="36">
        <f>F75</f>
        <v>0</v>
      </c>
      <c r="H75" s="36">
        <f>G75</f>
        <v>0</v>
      </c>
    </row>
    <row r="76" hidden="1" spans="1:8">
      <c r="A76" s="20"/>
      <c r="B76" s="30"/>
      <c r="C76" s="32"/>
      <c r="D76" s="21"/>
      <c r="E76" s="21"/>
      <c r="F76" s="36"/>
      <c r="G76" s="36"/>
      <c r="H76" s="36"/>
    </row>
    <row r="77" s="4" customFormat="1" ht="14.25" hidden="1" spans="1:11">
      <c r="A77" s="23"/>
      <c r="B77" s="45" t="s">
        <v>387</v>
      </c>
      <c r="C77" s="46"/>
      <c r="D77" s="24"/>
      <c r="E77" s="24"/>
      <c r="F77" s="39">
        <f>SUM(F71:F76)</f>
        <v>0</v>
      </c>
      <c r="G77" s="39">
        <f>SUM(G71:G76)</f>
        <v>0</v>
      </c>
      <c r="H77" s="39">
        <f>SUM(H71:H76)</f>
        <v>0</v>
      </c>
      <c r="I77" s="44"/>
      <c r="J77" s="44"/>
      <c r="K77" s="44"/>
    </row>
    <row r="78" hidden="1"/>
    <row r="79" hidden="1" spans="1:8">
      <c r="A79" s="50" t="s">
        <v>424</v>
      </c>
      <c r="B79" s="50"/>
      <c r="C79" s="50"/>
      <c r="D79" s="50"/>
      <c r="E79" s="50"/>
      <c r="F79" s="50"/>
      <c r="G79" s="50"/>
      <c r="H79" s="50"/>
    </row>
    <row r="80" hidden="1"/>
    <row r="81" ht="36" hidden="1" spans="1:8">
      <c r="A81" s="25" t="s">
        <v>389</v>
      </c>
      <c r="B81" s="27" t="s">
        <v>24</v>
      </c>
      <c r="C81" s="29"/>
      <c r="D81" s="18" t="s">
        <v>425</v>
      </c>
      <c r="E81" s="18" t="s">
        <v>409</v>
      </c>
      <c r="F81" s="18" t="s">
        <v>426</v>
      </c>
      <c r="G81" s="18" t="s">
        <v>426</v>
      </c>
      <c r="H81" s="18" t="s">
        <v>426</v>
      </c>
    </row>
    <row r="82" hidden="1" spans="1:8">
      <c r="A82" s="19">
        <v>1</v>
      </c>
      <c r="B82" s="30">
        <v>2</v>
      </c>
      <c r="C82" s="32"/>
      <c r="D82" s="19">
        <v>3</v>
      </c>
      <c r="E82" s="19">
        <v>4</v>
      </c>
      <c r="F82" s="19">
        <v>5</v>
      </c>
      <c r="G82" s="19">
        <v>6</v>
      </c>
      <c r="H82" s="19">
        <v>7</v>
      </c>
    </row>
    <row r="83" hidden="1" spans="1:8">
      <c r="A83" s="20"/>
      <c r="B83" s="30"/>
      <c r="C83" s="32"/>
      <c r="D83" s="21"/>
      <c r="E83" s="21"/>
      <c r="F83" s="21"/>
      <c r="G83" s="21"/>
      <c r="H83" s="21"/>
    </row>
    <row r="84" hidden="1" spans="1:8">
      <c r="A84" s="20"/>
      <c r="B84" s="30"/>
      <c r="C84" s="32"/>
      <c r="D84" s="21"/>
      <c r="E84" s="21"/>
      <c r="F84" s="21"/>
      <c r="G84" s="21"/>
      <c r="H84" s="21"/>
    </row>
    <row r="85" hidden="1" spans="1:8">
      <c r="A85" s="20"/>
      <c r="B85" s="30"/>
      <c r="C85" s="32"/>
      <c r="D85" s="21"/>
      <c r="E85" s="21"/>
      <c r="F85" s="21"/>
      <c r="G85" s="21"/>
      <c r="H85" s="21"/>
    </row>
    <row r="86" hidden="1" spans="1:8">
      <c r="A86" s="20"/>
      <c r="B86" s="30"/>
      <c r="C86" s="32"/>
      <c r="D86" s="21"/>
      <c r="E86" s="21"/>
      <c r="F86" s="21"/>
      <c r="G86" s="21"/>
      <c r="H86" s="21"/>
    </row>
    <row r="87" hidden="1" spans="1:8">
      <c r="A87" s="20"/>
      <c r="B87" s="30"/>
      <c r="C87" s="32"/>
      <c r="D87" s="21"/>
      <c r="E87" s="21"/>
      <c r="F87" s="21"/>
      <c r="G87" s="21"/>
      <c r="H87" s="21"/>
    </row>
    <row r="88" hidden="1" spans="1:8">
      <c r="A88" s="20"/>
      <c r="B88" s="30"/>
      <c r="C88" s="32"/>
      <c r="D88" s="21"/>
      <c r="E88" s="21"/>
      <c r="F88" s="21"/>
      <c r="G88" s="21"/>
      <c r="H88" s="21"/>
    </row>
    <row r="89" hidden="1" spans="1:8">
      <c r="A89" s="20"/>
      <c r="B89" s="30" t="s">
        <v>387</v>
      </c>
      <c r="C89" s="32"/>
      <c r="D89" s="21"/>
      <c r="E89" s="21"/>
      <c r="F89" s="21"/>
      <c r="G89" s="21"/>
      <c r="H89" s="21"/>
    </row>
    <row r="90" hidden="1"/>
    <row r="91" s="5" customFormat="1" ht="14.25" spans="1:11">
      <c r="A91" s="5" t="s">
        <v>427</v>
      </c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="5" customFormat="1" ht="14.25" hidden="1" spans="1:11">
      <c r="A92" s="5" t="s">
        <v>428</v>
      </c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hidden="1"/>
    <row r="94" ht="24" hidden="1" spans="1:9">
      <c r="A94" s="25" t="s">
        <v>389</v>
      </c>
      <c r="B94" s="27" t="s">
        <v>560</v>
      </c>
      <c r="C94" s="29"/>
      <c r="D94" s="18" t="s">
        <v>429</v>
      </c>
      <c r="E94" s="18" t="s">
        <v>430</v>
      </c>
      <c r="F94" s="18" t="s">
        <v>431</v>
      </c>
      <c r="G94" s="18" t="s">
        <v>410</v>
      </c>
      <c r="H94" s="18" t="s">
        <v>411</v>
      </c>
      <c r="I94" s="18" t="s">
        <v>412</v>
      </c>
    </row>
    <row r="95" hidden="1" spans="1:9">
      <c r="A95" s="19">
        <v>1</v>
      </c>
      <c r="B95" s="30">
        <v>2</v>
      </c>
      <c r="C95" s="32"/>
      <c r="D95" s="19">
        <v>3</v>
      </c>
      <c r="E95" s="19">
        <v>4</v>
      </c>
      <c r="F95" s="19">
        <v>5</v>
      </c>
      <c r="G95" s="19">
        <v>6</v>
      </c>
      <c r="H95" s="19">
        <v>7</v>
      </c>
      <c r="I95" s="19">
        <v>8</v>
      </c>
    </row>
    <row r="96" hidden="1" spans="1:9">
      <c r="A96" s="20"/>
      <c r="B96" s="47" t="s">
        <v>561</v>
      </c>
      <c r="C96" s="48"/>
      <c r="D96" s="21"/>
      <c r="E96" s="21"/>
      <c r="F96" s="21"/>
      <c r="G96" s="36"/>
      <c r="H96" s="36"/>
      <c r="I96" s="36"/>
    </row>
    <row r="97" hidden="1" spans="1:9">
      <c r="A97" s="20"/>
      <c r="B97" s="47" t="s">
        <v>434</v>
      </c>
      <c r="C97" s="48"/>
      <c r="D97" s="21"/>
      <c r="E97" s="21">
        <v>12</v>
      </c>
      <c r="F97" s="21">
        <v>247.8</v>
      </c>
      <c r="G97" s="36">
        <f>D97*E97*F97</f>
        <v>0</v>
      </c>
      <c r="H97" s="36"/>
      <c r="I97" s="36"/>
    </row>
    <row r="98" hidden="1" spans="1:9">
      <c r="A98" s="20"/>
      <c r="B98" s="47" t="s">
        <v>435</v>
      </c>
      <c r="C98" s="48"/>
      <c r="D98" s="21"/>
      <c r="E98" s="21">
        <v>12</v>
      </c>
      <c r="F98" s="21">
        <v>0.61</v>
      </c>
      <c r="G98" s="36">
        <f t="shared" ref="G98:G99" si="11">D98*E98*F98</f>
        <v>0</v>
      </c>
      <c r="H98" s="36"/>
      <c r="I98" s="36"/>
    </row>
    <row r="99" hidden="1" spans="1:9">
      <c r="A99" s="20"/>
      <c r="B99" s="47" t="s">
        <v>436</v>
      </c>
      <c r="C99" s="48"/>
      <c r="D99" s="21"/>
      <c r="E99" s="21">
        <v>12</v>
      </c>
      <c r="F99" s="21">
        <v>2341.43</v>
      </c>
      <c r="G99" s="36">
        <f t="shared" si="11"/>
        <v>0</v>
      </c>
      <c r="H99" s="36"/>
      <c r="I99" s="36"/>
    </row>
    <row r="100" hidden="1" spans="1:9">
      <c r="A100" s="20"/>
      <c r="B100" s="30"/>
      <c r="C100" s="32"/>
      <c r="D100" s="21"/>
      <c r="E100" s="21"/>
      <c r="F100" s="21"/>
      <c r="G100" s="36"/>
      <c r="H100" s="36"/>
      <c r="I100" s="36"/>
    </row>
    <row r="101" hidden="1" spans="1:9">
      <c r="A101" s="20"/>
      <c r="B101" s="30"/>
      <c r="C101" s="32"/>
      <c r="D101" s="21"/>
      <c r="E101" s="21"/>
      <c r="F101" s="21"/>
      <c r="G101" s="36"/>
      <c r="H101" s="36"/>
      <c r="I101" s="36"/>
    </row>
    <row r="102" s="4" customFormat="1" ht="14.25" hidden="1" spans="1:11">
      <c r="A102" s="23"/>
      <c r="B102" s="45" t="s">
        <v>387</v>
      </c>
      <c r="C102" s="46"/>
      <c r="D102" s="24"/>
      <c r="E102" s="24"/>
      <c r="F102" s="24"/>
      <c r="G102" s="39">
        <f>ROUND(SUM(G96:G101),0)</f>
        <v>0</v>
      </c>
      <c r="H102" s="39">
        <f t="shared" ref="H102:I102" si="12">SUM(H96:H101)</f>
        <v>0</v>
      </c>
      <c r="I102" s="39">
        <f t="shared" si="12"/>
        <v>0</v>
      </c>
      <c r="J102" s="44"/>
      <c r="K102" s="44"/>
    </row>
    <row r="103" hidden="1"/>
    <row r="104" s="5" customFormat="1" ht="14.25" hidden="1" spans="1:11">
      <c r="A104" s="5" t="s">
        <v>437</v>
      </c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hidden="1"/>
    <row r="106" ht="36" hidden="1" spans="1:8">
      <c r="A106" s="25" t="s">
        <v>389</v>
      </c>
      <c r="B106" s="27" t="s">
        <v>416</v>
      </c>
      <c r="C106" s="29"/>
      <c r="D106" s="18" t="s">
        <v>438</v>
      </c>
      <c r="E106" s="18" t="s">
        <v>439</v>
      </c>
      <c r="F106" s="18" t="s">
        <v>410</v>
      </c>
      <c r="G106" s="18" t="s">
        <v>411</v>
      </c>
      <c r="H106" s="18" t="s">
        <v>412</v>
      </c>
    </row>
    <row r="107" hidden="1" spans="1:8">
      <c r="A107" s="19">
        <v>1</v>
      </c>
      <c r="B107" s="30">
        <v>2</v>
      </c>
      <c r="C107" s="32"/>
      <c r="D107" s="19">
        <v>3</v>
      </c>
      <c r="E107" s="19">
        <v>4</v>
      </c>
      <c r="F107" s="19">
        <v>5</v>
      </c>
      <c r="G107" s="19">
        <v>6</v>
      </c>
      <c r="H107" s="19">
        <v>7</v>
      </c>
    </row>
    <row r="108" hidden="1" spans="1:8">
      <c r="A108" s="20">
        <v>1</v>
      </c>
      <c r="B108" s="30" t="s">
        <v>440</v>
      </c>
      <c r="C108" s="32"/>
      <c r="D108" s="21"/>
      <c r="E108" s="21"/>
      <c r="F108" s="21">
        <f>D108*E108</f>
        <v>0</v>
      </c>
      <c r="G108" s="21"/>
      <c r="H108" s="21"/>
    </row>
    <row r="109" hidden="1" spans="1:8">
      <c r="A109" s="20"/>
      <c r="B109" s="30"/>
      <c r="C109" s="32"/>
      <c r="D109" s="21"/>
      <c r="E109" s="21"/>
      <c r="F109" s="21">
        <f t="shared" ref="F109:F113" si="13">D109*E109</f>
        <v>0</v>
      </c>
      <c r="G109" s="21"/>
      <c r="H109" s="21"/>
    </row>
    <row r="110" hidden="1" spans="1:8">
      <c r="A110" s="20"/>
      <c r="B110" s="30"/>
      <c r="C110" s="32"/>
      <c r="D110" s="21"/>
      <c r="E110" s="21"/>
      <c r="F110" s="21">
        <f t="shared" si="13"/>
        <v>0</v>
      </c>
      <c r="G110" s="21"/>
      <c r="H110" s="21"/>
    </row>
    <row r="111" hidden="1" spans="1:8">
      <c r="A111" s="20"/>
      <c r="B111" s="30"/>
      <c r="C111" s="32"/>
      <c r="D111" s="21"/>
      <c r="E111" s="21"/>
      <c r="F111" s="21">
        <f t="shared" si="13"/>
        <v>0</v>
      </c>
      <c r="G111" s="21"/>
      <c r="H111" s="21"/>
    </row>
    <row r="112" hidden="1" spans="1:8">
      <c r="A112" s="20"/>
      <c r="B112" s="30"/>
      <c r="C112" s="32"/>
      <c r="D112" s="21"/>
      <c r="E112" s="21"/>
      <c r="F112" s="21">
        <f t="shared" si="13"/>
        <v>0</v>
      </c>
      <c r="G112" s="21"/>
      <c r="H112" s="21"/>
    </row>
    <row r="113" hidden="1" spans="1:8">
      <c r="A113" s="20"/>
      <c r="B113" s="30"/>
      <c r="C113" s="32"/>
      <c r="D113" s="21"/>
      <c r="E113" s="21"/>
      <c r="F113" s="21">
        <f t="shared" si="13"/>
        <v>0</v>
      </c>
      <c r="G113" s="21"/>
      <c r="H113" s="21"/>
    </row>
    <row r="114" s="4" customFormat="1" ht="14.25" hidden="1" spans="1:11">
      <c r="A114" s="23"/>
      <c r="B114" s="45" t="s">
        <v>387</v>
      </c>
      <c r="C114" s="46"/>
      <c r="D114" s="24"/>
      <c r="E114" s="24"/>
      <c r="F114" s="24">
        <f>SUM(F108:F113)</f>
        <v>0</v>
      </c>
      <c r="G114" s="24">
        <f t="shared" ref="G114:H114" si="14">SUM(G108:G113)</f>
        <v>0</v>
      </c>
      <c r="H114" s="24">
        <f t="shared" si="14"/>
        <v>0</v>
      </c>
      <c r="I114" s="44"/>
      <c r="J114" s="44"/>
      <c r="K114" s="44"/>
    </row>
    <row r="115" hidden="1"/>
    <row r="116" s="5" customFormat="1" ht="14.25" hidden="1" spans="1:11">
      <c r="A116" s="5" t="s">
        <v>441</v>
      </c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hidden="1"/>
    <row r="118" ht="36" hidden="1" spans="1:9">
      <c r="A118" s="25" t="s">
        <v>389</v>
      </c>
      <c r="B118" s="27" t="s">
        <v>24</v>
      </c>
      <c r="C118" s="29"/>
      <c r="D118" s="18" t="s">
        <v>442</v>
      </c>
      <c r="E118" s="18" t="s">
        <v>443</v>
      </c>
      <c r="F118" s="18" t="s">
        <v>444</v>
      </c>
      <c r="G118" s="18" t="s">
        <v>410</v>
      </c>
      <c r="H118" s="18" t="s">
        <v>411</v>
      </c>
      <c r="I118" s="18" t="s">
        <v>412</v>
      </c>
    </row>
    <row r="119" hidden="1" spans="1:9">
      <c r="A119" s="19">
        <v>1</v>
      </c>
      <c r="B119" s="30">
        <v>2</v>
      </c>
      <c r="C119" s="32"/>
      <c r="D119" s="19">
        <v>3</v>
      </c>
      <c r="E119" s="19">
        <v>4</v>
      </c>
      <c r="F119" s="19">
        <v>5</v>
      </c>
      <c r="G119" s="19">
        <v>6</v>
      </c>
      <c r="H119" s="19">
        <v>7</v>
      </c>
      <c r="I119" s="19">
        <v>8</v>
      </c>
    </row>
    <row r="120" hidden="1" spans="1:9">
      <c r="A120" s="20"/>
      <c r="B120" s="30" t="s">
        <v>562</v>
      </c>
      <c r="C120" s="32"/>
      <c r="D120" s="21"/>
      <c r="E120" s="21"/>
      <c r="F120" s="21"/>
      <c r="G120" s="21">
        <f>D120*E120*F120</f>
        <v>0</v>
      </c>
      <c r="H120" s="21"/>
      <c r="I120" s="21"/>
    </row>
    <row r="121" hidden="1" spans="1:9">
      <c r="A121" s="20"/>
      <c r="B121" s="30"/>
      <c r="C121" s="32"/>
      <c r="D121" s="21"/>
      <c r="E121" s="21"/>
      <c r="F121" s="21"/>
      <c r="G121" s="21">
        <f t="shared" ref="G121:G125" si="15">D121*E121*F121</f>
        <v>0</v>
      </c>
      <c r="H121" s="21"/>
      <c r="I121" s="21"/>
    </row>
    <row r="122" hidden="1" spans="1:9">
      <c r="A122" s="20"/>
      <c r="B122" s="30" t="s">
        <v>562</v>
      </c>
      <c r="C122" s="32"/>
      <c r="D122" s="21"/>
      <c r="E122" s="21"/>
      <c r="F122" s="21"/>
      <c r="G122" s="21">
        <f t="shared" si="15"/>
        <v>0</v>
      </c>
      <c r="H122" s="21"/>
      <c r="I122" s="21"/>
    </row>
    <row r="123" hidden="1" spans="1:9">
      <c r="A123" s="20"/>
      <c r="B123" s="30"/>
      <c r="C123" s="32"/>
      <c r="D123" s="21"/>
      <c r="E123" s="21"/>
      <c r="F123" s="21"/>
      <c r="G123" s="21">
        <f t="shared" si="15"/>
        <v>0</v>
      </c>
      <c r="H123" s="21"/>
      <c r="I123" s="21"/>
    </row>
    <row r="124" hidden="1" spans="1:9">
      <c r="A124" s="20"/>
      <c r="B124" s="30" t="s">
        <v>562</v>
      </c>
      <c r="C124" s="32"/>
      <c r="D124" s="21"/>
      <c r="E124" s="21"/>
      <c r="F124" s="21"/>
      <c r="G124" s="21">
        <f t="shared" si="15"/>
        <v>0</v>
      </c>
      <c r="H124" s="21"/>
      <c r="I124" s="21"/>
    </row>
    <row r="125" hidden="1" spans="1:9">
      <c r="A125" s="20"/>
      <c r="B125" s="30"/>
      <c r="C125" s="32"/>
      <c r="D125" s="21"/>
      <c r="E125" s="21"/>
      <c r="F125" s="21"/>
      <c r="G125" s="21">
        <f t="shared" si="15"/>
        <v>0</v>
      </c>
      <c r="H125" s="21"/>
      <c r="I125" s="21"/>
    </row>
    <row r="126" s="4" customFormat="1" ht="14.25" hidden="1" spans="1:11">
      <c r="A126" s="23"/>
      <c r="B126" s="45" t="s">
        <v>387</v>
      </c>
      <c r="C126" s="46"/>
      <c r="D126" s="24"/>
      <c r="E126" s="24"/>
      <c r="F126" s="24"/>
      <c r="G126" s="24">
        <f>SUM(G120:G125)</f>
        <v>0</v>
      </c>
      <c r="H126" s="24">
        <f t="shared" ref="H126:I126" si="16">SUM(H120:H125)</f>
        <v>0</v>
      </c>
      <c r="I126" s="24">
        <f t="shared" si="16"/>
        <v>0</v>
      </c>
      <c r="J126" s="44"/>
      <c r="K126" s="44"/>
    </row>
    <row r="127" hidden="1"/>
    <row r="128" s="5" customFormat="1" ht="14.25" hidden="1" spans="1:11">
      <c r="A128" s="5" t="s">
        <v>461</v>
      </c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hidden="1"/>
    <row r="130" ht="48" hidden="1" spans="1:8">
      <c r="A130" s="25" t="s">
        <v>389</v>
      </c>
      <c r="B130" s="27" t="s">
        <v>24</v>
      </c>
      <c r="C130" s="29"/>
      <c r="D130" s="18" t="s">
        <v>462</v>
      </c>
      <c r="E130" s="18" t="s">
        <v>463</v>
      </c>
      <c r="F130" s="18" t="s">
        <v>464</v>
      </c>
      <c r="G130" s="18" t="s">
        <v>464</v>
      </c>
      <c r="H130" s="18" t="s">
        <v>464</v>
      </c>
    </row>
    <row r="131" hidden="1" spans="1:8">
      <c r="A131" s="19">
        <v>1</v>
      </c>
      <c r="B131" s="30">
        <v>2</v>
      </c>
      <c r="C131" s="32"/>
      <c r="D131" s="19">
        <v>3</v>
      </c>
      <c r="E131" s="19">
        <v>4</v>
      </c>
      <c r="F131" s="19">
        <v>5</v>
      </c>
      <c r="G131" s="19">
        <v>6</v>
      </c>
      <c r="H131" s="19">
        <v>7</v>
      </c>
    </row>
    <row r="132" hidden="1" spans="1:8">
      <c r="A132" s="20"/>
      <c r="B132" s="30"/>
      <c r="C132" s="32"/>
      <c r="D132" s="21"/>
      <c r="E132" s="21"/>
      <c r="F132" s="21"/>
      <c r="G132" s="21"/>
      <c r="H132" s="21"/>
    </row>
    <row r="133" hidden="1" spans="1:8">
      <c r="A133" s="20"/>
      <c r="B133" s="30"/>
      <c r="C133" s="32"/>
      <c r="D133" s="21"/>
      <c r="E133" s="21"/>
      <c r="F133" s="21"/>
      <c r="G133" s="21"/>
      <c r="H133" s="21"/>
    </row>
    <row r="134" hidden="1" spans="1:8">
      <c r="A134" s="20"/>
      <c r="B134" s="30"/>
      <c r="C134" s="32"/>
      <c r="D134" s="21"/>
      <c r="E134" s="21"/>
      <c r="F134" s="21"/>
      <c r="G134" s="21"/>
      <c r="H134" s="21"/>
    </row>
    <row r="135" hidden="1" spans="1:8">
      <c r="A135" s="20"/>
      <c r="B135" s="30"/>
      <c r="C135" s="32"/>
      <c r="D135" s="21"/>
      <c r="E135" s="21"/>
      <c r="F135" s="21"/>
      <c r="G135" s="21"/>
      <c r="H135" s="21"/>
    </row>
    <row r="136" hidden="1" spans="1:8">
      <c r="A136" s="20"/>
      <c r="B136" s="30"/>
      <c r="C136" s="32"/>
      <c r="D136" s="21"/>
      <c r="E136" s="21"/>
      <c r="F136" s="21"/>
      <c r="G136" s="21"/>
      <c r="H136" s="21"/>
    </row>
    <row r="137" hidden="1" spans="1:8">
      <c r="A137" s="20"/>
      <c r="B137" s="30"/>
      <c r="C137" s="32"/>
      <c r="D137" s="21"/>
      <c r="E137" s="21"/>
      <c r="F137" s="21"/>
      <c r="G137" s="21"/>
      <c r="H137" s="21"/>
    </row>
    <row r="138" s="4" customFormat="1" ht="14.25" hidden="1" spans="1:11">
      <c r="A138" s="23"/>
      <c r="B138" s="45" t="s">
        <v>387</v>
      </c>
      <c r="C138" s="46"/>
      <c r="D138" s="24"/>
      <c r="E138" s="24"/>
      <c r="F138" s="24">
        <f>SUM(F132:F137)</f>
        <v>0</v>
      </c>
      <c r="G138" s="24">
        <f t="shared" ref="G138:H138" si="17">SUM(G132:G137)</f>
        <v>0</v>
      </c>
      <c r="H138" s="24">
        <f t="shared" si="17"/>
        <v>0</v>
      </c>
      <c r="I138" s="44"/>
      <c r="J138" s="44"/>
      <c r="K138" s="44"/>
    </row>
    <row r="139" hidden="1"/>
    <row r="140" s="5" customFormat="1" ht="14.25" hidden="1" spans="1:11">
      <c r="A140" s="5" t="s">
        <v>465</v>
      </c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hidden="1"/>
    <row r="142" ht="24" hidden="1" spans="1:8">
      <c r="A142" s="25" t="s">
        <v>389</v>
      </c>
      <c r="B142" s="27" t="s">
        <v>24</v>
      </c>
      <c r="C142" s="29"/>
      <c r="D142" s="18" t="s">
        <v>466</v>
      </c>
      <c r="E142" s="18" t="s">
        <v>467</v>
      </c>
      <c r="F142" s="18" t="s">
        <v>410</v>
      </c>
      <c r="G142" s="18" t="s">
        <v>411</v>
      </c>
      <c r="H142" s="18" t="s">
        <v>412</v>
      </c>
    </row>
    <row r="143" hidden="1" spans="1:8">
      <c r="A143" s="19">
        <v>1</v>
      </c>
      <c r="B143" s="30">
        <v>2</v>
      </c>
      <c r="C143" s="32"/>
      <c r="D143" s="19">
        <v>3</v>
      </c>
      <c r="E143" s="19">
        <v>4</v>
      </c>
      <c r="F143" s="19">
        <v>5</v>
      </c>
      <c r="G143" s="19">
        <v>6</v>
      </c>
      <c r="H143" s="19">
        <v>7</v>
      </c>
    </row>
    <row r="144" hidden="1" spans="1:8">
      <c r="A144" s="20">
        <v>1</v>
      </c>
      <c r="B144" s="30" t="s">
        <v>563</v>
      </c>
      <c r="C144" s="32"/>
      <c r="D144" s="21"/>
      <c r="E144" s="21">
        <v>2460</v>
      </c>
      <c r="F144" s="21">
        <f>E144*D144</f>
        <v>0</v>
      </c>
      <c r="G144" s="21"/>
      <c r="H144" s="21"/>
    </row>
    <row r="145" hidden="1" spans="1:8">
      <c r="A145" s="20"/>
      <c r="B145" s="30" t="s">
        <v>564</v>
      </c>
      <c r="C145" s="32"/>
      <c r="D145" s="21"/>
      <c r="E145" s="21"/>
      <c r="F145" s="21">
        <f t="shared" ref="F145:F161" si="18">E145*D145</f>
        <v>0</v>
      </c>
      <c r="G145" s="21"/>
      <c r="H145" s="21"/>
    </row>
    <row r="146" hidden="1" spans="1:8">
      <c r="A146" s="20"/>
      <c r="B146" s="30"/>
      <c r="C146" s="32"/>
      <c r="D146" s="21"/>
      <c r="E146" s="21"/>
      <c r="F146" s="21">
        <f t="shared" si="18"/>
        <v>0</v>
      </c>
      <c r="G146" s="21"/>
      <c r="H146" s="21"/>
    </row>
    <row r="147" hidden="1" spans="1:8">
      <c r="A147" s="20"/>
      <c r="B147" s="30"/>
      <c r="C147" s="32"/>
      <c r="D147" s="21"/>
      <c r="E147" s="21"/>
      <c r="F147" s="21">
        <f t="shared" si="18"/>
        <v>0</v>
      </c>
      <c r="G147" s="21"/>
      <c r="H147" s="21"/>
    </row>
    <row r="148" hidden="1" spans="1:8">
      <c r="A148" s="20"/>
      <c r="B148" s="30"/>
      <c r="C148" s="32"/>
      <c r="D148" s="21"/>
      <c r="E148" s="21"/>
      <c r="F148" s="21">
        <f t="shared" si="18"/>
        <v>0</v>
      </c>
      <c r="G148" s="21"/>
      <c r="H148" s="21"/>
    </row>
    <row r="149" hidden="1" spans="1:8">
      <c r="A149" s="20"/>
      <c r="B149" s="30"/>
      <c r="C149" s="32"/>
      <c r="D149" s="21"/>
      <c r="E149" s="21"/>
      <c r="F149" s="21">
        <f t="shared" si="18"/>
        <v>0</v>
      </c>
      <c r="G149" s="21"/>
      <c r="H149" s="21"/>
    </row>
    <row r="150" hidden="1" spans="1:8">
      <c r="A150" s="20"/>
      <c r="B150" s="30"/>
      <c r="C150" s="32"/>
      <c r="D150" s="21"/>
      <c r="E150" s="21"/>
      <c r="F150" s="21">
        <f t="shared" si="18"/>
        <v>0</v>
      </c>
      <c r="G150" s="21"/>
      <c r="H150" s="21"/>
    </row>
    <row r="151" hidden="1" spans="1:8">
      <c r="A151" s="20"/>
      <c r="B151" s="30"/>
      <c r="C151" s="32"/>
      <c r="D151" s="21"/>
      <c r="E151" s="21"/>
      <c r="F151" s="21">
        <f t="shared" si="18"/>
        <v>0</v>
      </c>
      <c r="G151" s="21"/>
      <c r="H151" s="21"/>
    </row>
    <row r="152" hidden="1" spans="1:8">
      <c r="A152" s="20"/>
      <c r="B152" s="30"/>
      <c r="C152" s="32"/>
      <c r="D152" s="21"/>
      <c r="E152" s="21"/>
      <c r="F152" s="21">
        <f t="shared" si="18"/>
        <v>0</v>
      </c>
      <c r="G152" s="21"/>
      <c r="H152" s="21"/>
    </row>
    <row r="153" hidden="1" spans="1:8">
      <c r="A153" s="20"/>
      <c r="B153" s="30"/>
      <c r="C153" s="32"/>
      <c r="D153" s="21"/>
      <c r="E153" s="21"/>
      <c r="F153" s="21">
        <f t="shared" si="18"/>
        <v>0</v>
      </c>
      <c r="G153" s="21"/>
      <c r="H153" s="21"/>
    </row>
    <row r="154" hidden="1" spans="1:8">
      <c r="A154" s="20"/>
      <c r="B154" s="30"/>
      <c r="C154" s="32"/>
      <c r="D154" s="21"/>
      <c r="E154" s="21"/>
      <c r="F154" s="21">
        <f t="shared" si="18"/>
        <v>0</v>
      </c>
      <c r="G154" s="21"/>
      <c r="H154" s="21"/>
    </row>
    <row r="155" hidden="1" spans="1:8">
      <c r="A155" s="20"/>
      <c r="B155" s="30"/>
      <c r="C155" s="32"/>
      <c r="D155" s="21"/>
      <c r="E155" s="21"/>
      <c r="F155" s="21">
        <f t="shared" si="18"/>
        <v>0</v>
      </c>
      <c r="G155" s="21"/>
      <c r="H155" s="21"/>
    </row>
    <row r="156" hidden="1" spans="1:8">
      <c r="A156" s="20"/>
      <c r="B156" s="30"/>
      <c r="C156" s="32"/>
      <c r="D156" s="21"/>
      <c r="E156" s="21"/>
      <c r="F156" s="21">
        <f t="shared" si="18"/>
        <v>0</v>
      </c>
      <c r="G156" s="21"/>
      <c r="H156" s="21"/>
    </row>
    <row r="157" hidden="1" spans="1:8">
      <c r="A157" s="20"/>
      <c r="B157" s="30"/>
      <c r="C157" s="32"/>
      <c r="D157" s="21"/>
      <c r="E157" s="21"/>
      <c r="F157" s="21">
        <f t="shared" si="18"/>
        <v>0</v>
      </c>
      <c r="G157" s="21"/>
      <c r="H157" s="21"/>
    </row>
    <row r="158" hidden="1" spans="1:8">
      <c r="A158" s="20"/>
      <c r="B158" s="30"/>
      <c r="C158" s="32"/>
      <c r="D158" s="21"/>
      <c r="E158" s="21"/>
      <c r="F158" s="21">
        <f t="shared" si="18"/>
        <v>0</v>
      </c>
      <c r="G158" s="21"/>
      <c r="H158" s="21"/>
    </row>
    <row r="159" hidden="1" spans="1:8">
      <c r="A159" s="20"/>
      <c r="B159" s="30"/>
      <c r="C159" s="32"/>
      <c r="D159" s="21"/>
      <c r="E159" s="21"/>
      <c r="F159" s="21">
        <f t="shared" si="18"/>
        <v>0</v>
      </c>
      <c r="G159" s="21"/>
      <c r="H159" s="21"/>
    </row>
    <row r="160" hidden="1" spans="1:8">
      <c r="A160" s="20"/>
      <c r="B160" s="30"/>
      <c r="C160" s="32"/>
      <c r="D160" s="21"/>
      <c r="E160" s="21"/>
      <c r="F160" s="21">
        <f t="shared" si="18"/>
        <v>0</v>
      </c>
      <c r="G160" s="21"/>
      <c r="H160" s="21"/>
    </row>
    <row r="161" hidden="1" spans="1:8">
      <c r="A161" s="20"/>
      <c r="B161" s="30"/>
      <c r="C161" s="32"/>
      <c r="D161" s="21"/>
      <c r="E161" s="21"/>
      <c r="F161" s="21">
        <f t="shared" si="18"/>
        <v>0</v>
      </c>
      <c r="G161" s="21"/>
      <c r="H161" s="21"/>
    </row>
    <row r="162" s="4" customFormat="1" ht="14.25" hidden="1" spans="1:11">
      <c r="A162" s="23"/>
      <c r="B162" s="45" t="s">
        <v>387</v>
      </c>
      <c r="C162" s="46"/>
      <c r="D162" s="24"/>
      <c r="E162" s="24"/>
      <c r="F162" s="24">
        <f>SUM(F144:F161)</f>
        <v>0</v>
      </c>
      <c r="G162" s="24">
        <f t="shared" ref="G162:H162" si="19">SUM(G144:G161)</f>
        <v>0</v>
      </c>
      <c r="H162" s="24">
        <f t="shared" si="19"/>
        <v>0</v>
      </c>
      <c r="I162" s="44"/>
      <c r="J162" s="44"/>
      <c r="K162" s="44"/>
    </row>
    <row r="163" hidden="1"/>
    <row r="164" s="5" customFormat="1" ht="14.25" spans="1:11">
      <c r="A164" s="5" t="s">
        <v>502</v>
      </c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6" ht="24" spans="1:8">
      <c r="A166" s="25" t="s">
        <v>389</v>
      </c>
      <c r="B166" s="27" t="s">
        <v>416</v>
      </c>
      <c r="C166" s="29"/>
      <c r="D166" s="18" t="s">
        <v>462</v>
      </c>
      <c r="E166" s="18" t="s">
        <v>710</v>
      </c>
      <c r="F166" s="18" t="s">
        <v>410</v>
      </c>
      <c r="G166" s="18" t="s">
        <v>411</v>
      </c>
      <c r="H166" s="18" t="s">
        <v>412</v>
      </c>
    </row>
    <row r="167" spans="1:8">
      <c r="A167" s="19">
        <v>1</v>
      </c>
      <c r="B167" s="30">
        <v>2</v>
      </c>
      <c r="C167" s="32"/>
      <c r="D167" s="19">
        <v>3</v>
      </c>
      <c r="E167" s="19">
        <v>4</v>
      </c>
      <c r="F167" s="19">
        <v>5</v>
      </c>
      <c r="G167" s="19">
        <v>6</v>
      </c>
      <c r="H167" s="19">
        <v>7</v>
      </c>
    </row>
    <row r="168" ht="31.5" customHeight="1" spans="1:8">
      <c r="A168" s="20"/>
      <c r="B168" s="80" t="s">
        <v>680</v>
      </c>
      <c r="C168" s="81"/>
      <c r="D168" s="82"/>
      <c r="E168" s="21"/>
      <c r="F168" s="21">
        <f>E168*D168</f>
        <v>0</v>
      </c>
      <c r="G168" s="21"/>
      <c r="H168" s="21"/>
    </row>
    <row r="169" spans="1:8">
      <c r="A169" s="20"/>
      <c r="B169" s="80" t="s">
        <v>681</v>
      </c>
      <c r="C169" s="81"/>
      <c r="D169" s="82"/>
      <c r="E169" s="21"/>
      <c r="F169" s="21">
        <f t="shared" ref="F169:F187" si="20">E169*D169</f>
        <v>0</v>
      </c>
      <c r="G169" s="21"/>
      <c r="H169" s="21"/>
    </row>
    <row r="170" spans="1:8">
      <c r="A170" s="20"/>
      <c r="B170" s="80" t="s">
        <v>709</v>
      </c>
      <c r="C170" s="81"/>
      <c r="D170" s="82">
        <v>1</v>
      </c>
      <c r="E170" s="21">
        <v>590400</v>
      </c>
      <c r="F170" s="21">
        <f t="shared" si="20"/>
        <v>590400</v>
      </c>
      <c r="G170" s="21">
        <f>F170</f>
        <v>590400</v>
      </c>
      <c r="H170" s="21">
        <f>G170</f>
        <v>590400</v>
      </c>
    </row>
    <row r="171" spans="1:8">
      <c r="A171" s="20"/>
      <c r="B171" s="80" t="s">
        <v>711</v>
      </c>
      <c r="C171" s="81"/>
      <c r="D171" s="83"/>
      <c r="E171" s="21"/>
      <c r="F171" s="21">
        <f t="shared" ref="F171:F175" si="21">E171*D171</f>
        <v>0</v>
      </c>
      <c r="G171" s="21"/>
      <c r="H171" s="21"/>
    </row>
    <row r="172" hidden="1" spans="1:8">
      <c r="A172" s="20"/>
      <c r="B172" s="84"/>
      <c r="C172" s="85"/>
      <c r="D172" s="83"/>
      <c r="E172" s="21"/>
      <c r="F172" s="21">
        <f t="shared" si="21"/>
        <v>0</v>
      </c>
      <c r="G172" s="21"/>
      <c r="H172" s="21"/>
    </row>
    <row r="173" hidden="1" spans="1:8">
      <c r="A173" s="20"/>
      <c r="B173" s="84"/>
      <c r="C173" s="85"/>
      <c r="D173" s="83"/>
      <c r="E173" s="21"/>
      <c r="F173" s="21">
        <f t="shared" si="21"/>
        <v>0</v>
      </c>
      <c r="G173" s="21"/>
      <c r="H173" s="21"/>
    </row>
    <row r="174" hidden="1" spans="1:8">
      <c r="A174" s="20"/>
      <c r="B174" s="84"/>
      <c r="C174" s="85"/>
      <c r="D174" s="83"/>
      <c r="E174" s="21"/>
      <c r="F174" s="21">
        <f t="shared" si="21"/>
        <v>0</v>
      </c>
      <c r="G174" s="21"/>
      <c r="H174" s="21"/>
    </row>
    <row r="175" hidden="1" spans="1:8">
      <c r="A175" s="20"/>
      <c r="B175" s="84"/>
      <c r="C175" s="85"/>
      <c r="D175" s="83"/>
      <c r="E175" s="21"/>
      <c r="F175" s="21">
        <f t="shared" si="21"/>
        <v>0</v>
      </c>
      <c r="G175" s="21"/>
      <c r="H175" s="21"/>
    </row>
    <row r="176" hidden="1" spans="1:8">
      <c r="A176" s="20"/>
      <c r="B176" s="84"/>
      <c r="C176" s="85"/>
      <c r="D176" s="83"/>
      <c r="E176" s="21"/>
      <c r="F176" s="21">
        <f>ROUND(E176*D176,0)</f>
        <v>0</v>
      </c>
      <c r="G176" s="21"/>
      <c r="H176" s="21"/>
    </row>
    <row r="177" hidden="1" spans="1:8">
      <c r="A177" s="20"/>
      <c r="B177" s="84"/>
      <c r="C177" s="85"/>
      <c r="D177" s="57"/>
      <c r="E177" s="21"/>
      <c r="F177" s="21">
        <f>ROUND(E177*D177,0)</f>
        <v>0</v>
      </c>
      <c r="G177" s="21"/>
      <c r="H177" s="21"/>
    </row>
    <row r="178" hidden="1" spans="1:8">
      <c r="A178" s="20"/>
      <c r="B178" s="30"/>
      <c r="C178" s="32"/>
      <c r="D178" s="21"/>
      <c r="E178" s="21"/>
      <c r="F178" s="21">
        <f t="shared" si="20"/>
        <v>0</v>
      </c>
      <c r="G178" s="21"/>
      <c r="H178" s="21"/>
    </row>
    <row r="179" hidden="1" spans="1:8">
      <c r="A179" s="20"/>
      <c r="B179" s="30"/>
      <c r="C179" s="32"/>
      <c r="D179" s="21"/>
      <c r="E179" s="21"/>
      <c r="F179" s="21">
        <f t="shared" si="20"/>
        <v>0</v>
      </c>
      <c r="G179" s="21"/>
      <c r="H179" s="21"/>
    </row>
    <row r="180" hidden="1" spans="1:8">
      <c r="A180" s="20"/>
      <c r="B180" s="30"/>
      <c r="C180" s="32"/>
      <c r="D180" s="21"/>
      <c r="E180" s="21"/>
      <c r="F180" s="21">
        <f t="shared" si="20"/>
        <v>0</v>
      </c>
      <c r="G180" s="21"/>
      <c r="H180" s="21"/>
    </row>
    <row r="181" hidden="1" spans="1:8">
      <c r="A181" s="20"/>
      <c r="B181" s="30"/>
      <c r="C181" s="32"/>
      <c r="D181" s="21"/>
      <c r="E181" s="21"/>
      <c r="F181" s="21">
        <f t="shared" si="20"/>
        <v>0</v>
      </c>
      <c r="G181" s="21"/>
      <c r="H181" s="21"/>
    </row>
    <row r="182" hidden="1" spans="1:8">
      <c r="A182" s="20"/>
      <c r="B182" s="30"/>
      <c r="C182" s="32"/>
      <c r="D182" s="21"/>
      <c r="E182" s="21"/>
      <c r="F182" s="21">
        <f t="shared" si="20"/>
        <v>0</v>
      </c>
      <c r="G182" s="21"/>
      <c r="H182" s="21"/>
    </row>
    <row r="183" hidden="1" spans="1:8">
      <c r="A183" s="20"/>
      <c r="B183" s="30"/>
      <c r="C183" s="32"/>
      <c r="D183" s="21"/>
      <c r="E183" s="21"/>
      <c r="F183" s="21">
        <f t="shared" si="20"/>
        <v>0</v>
      </c>
      <c r="G183" s="21"/>
      <c r="H183" s="21"/>
    </row>
    <row r="184" hidden="1" spans="1:8">
      <c r="A184" s="20"/>
      <c r="B184" s="30"/>
      <c r="C184" s="32"/>
      <c r="D184" s="21"/>
      <c r="E184" s="21"/>
      <c r="F184" s="21">
        <f t="shared" si="20"/>
        <v>0</v>
      </c>
      <c r="G184" s="21"/>
      <c r="H184" s="21"/>
    </row>
    <row r="185" hidden="1" spans="1:8">
      <c r="A185" s="20"/>
      <c r="B185" s="30"/>
      <c r="C185" s="32"/>
      <c r="D185" s="21"/>
      <c r="E185" s="21"/>
      <c r="F185" s="21">
        <f t="shared" si="20"/>
        <v>0</v>
      </c>
      <c r="G185" s="21"/>
      <c r="H185" s="21"/>
    </row>
    <row r="186" hidden="1" spans="1:8">
      <c r="A186" s="20"/>
      <c r="B186" s="30"/>
      <c r="C186" s="32"/>
      <c r="D186" s="21"/>
      <c r="E186" s="21"/>
      <c r="F186" s="21">
        <f t="shared" si="20"/>
        <v>0</v>
      </c>
      <c r="G186" s="21"/>
      <c r="H186" s="21"/>
    </row>
    <row r="187" spans="1:8">
      <c r="A187" s="20"/>
      <c r="B187" s="30"/>
      <c r="C187" s="32"/>
      <c r="D187" s="21"/>
      <c r="E187" s="21"/>
      <c r="F187" s="21">
        <f t="shared" si="20"/>
        <v>0</v>
      </c>
      <c r="G187" s="21"/>
      <c r="H187" s="21"/>
    </row>
    <row r="188" s="4" customFormat="1" ht="14.25" spans="1:11">
      <c r="A188" s="23"/>
      <c r="B188" s="45" t="s">
        <v>387</v>
      </c>
      <c r="C188" s="46"/>
      <c r="D188" s="24">
        <f>D176+D177</f>
        <v>0</v>
      </c>
      <c r="E188" s="24"/>
      <c r="F188" s="24">
        <f>SUM(F168:F187)</f>
        <v>590400</v>
      </c>
      <c r="G188" s="24">
        <f t="shared" ref="G188:H188" si="22">SUM(G168:G187)</f>
        <v>590400</v>
      </c>
      <c r="H188" s="24">
        <f t="shared" si="22"/>
        <v>590400</v>
      </c>
      <c r="I188" s="44"/>
      <c r="J188" s="44"/>
      <c r="K188" s="44"/>
    </row>
    <row r="190" s="5" customFormat="1" ht="14.25" hidden="1" spans="1:11">
      <c r="A190" s="5" t="s">
        <v>527</v>
      </c>
      <c r="B190" s="15"/>
      <c r="C190" s="15"/>
      <c r="D190" s="15"/>
      <c r="E190" s="15"/>
      <c r="F190" s="15"/>
      <c r="G190" s="15"/>
      <c r="H190" s="15"/>
      <c r="I190" s="15"/>
      <c r="J190" s="15"/>
      <c r="K190" s="15"/>
    </row>
    <row r="191" hidden="1"/>
    <row r="192" ht="24" hidden="1" spans="1:8">
      <c r="A192" s="25" t="s">
        <v>389</v>
      </c>
      <c r="B192" s="27" t="s">
        <v>416</v>
      </c>
      <c r="C192" s="29"/>
      <c r="D192" s="18" t="s">
        <v>462</v>
      </c>
      <c r="E192" s="18" t="s">
        <v>467</v>
      </c>
      <c r="F192" s="18" t="s">
        <v>410</v>
      </c>
      <c r="G192" s="18" t="s">
        <v>411</v>
      </c>
      <c r="H192" s="18" t="s">
        <v>412</v>
      </c>
    </row>
    <row r="193" hidden="1" spans="1:8">
      <c r="A193" s="19">
        <v>1</v>
      </c>
      <c r="B193" s="30">
        <v>2</v>
      </c>
      <c r="C193" s="32"/>
      <c r="D193" s="19">
        <v>3</v>
      </c>
      <c r="E193" s="19">
        <v>4</v>
      </c>
      <c r="F193" s="19">
        <v>5</v>
      </c>
      <c r="G193" s="19">
        <v>6</v>
      </c>
      <c r="H193" s="19">
        <v>7</v>
      </c>
    </row>
    <row r="194" hidden="1" spans="1:8">
      <c r="A194" s="20">
        <v>1</v>
      </c>
      <c r="B194" s="30"/>
      <c r="C194" s="32"/>
      <c r="D194" s="21"/>
      <c r="E194" s="21"/>
      <c r="F194" s="21">
        <f>D194*E194</f>
        <v>0</v>
      </c>
      <c r="G194" s="21"/>
      <c r="H194" s="21"/>
    </row>
    <row r="195" hidden="1" spans="1:8">
      <c r="A195" s="37"/>
      <c r="B195" s="86"/>
      <c r="C195" s="87"/>
      <c r="D195" s="87"/>
      <c r="E195" s="21"/>
      <c r="F195" s="21">
        <f t="shared" ref="F195:F215" si="23">D195*E195</f>
        <v>0</v>
      </c>
      <c r="G195" s="21"/>
      <c r="H195" s="21"/>
    </row>
    <row r="196" hidden="1" spans="1:8">
      <c r="A196" s="37"/>
      <c r="B196" s="88"/>
      <c r="C196" s="87"/>
      <c r="D196" s="87"/>
      <c r="E196" s="21"/>
      <c r="F196" s="21">
        <f t="shared" si="23"/>
        <v>0</v>
      </c>
      <c r="G196" s="21"/>
      <c r="H196" s="21"/>
    </row>
    <row r="197" hidden="1" spans="1:8">
      <c r="A197" s="37"/>
      <c r="B197" s="86"/>
      <c r="C197" s="87"/>
      <c r="D197" s="87"/>
      <c r="E197" s="21"/>
      <c r="F197" s="21">
        <f t="shared" si="23"/>
        <v>0</v>
      </c>
      <c r="G197" s="21"/>
      <c r="H197" s="21"/>
    </row>
    <row r="198" hidden="1" spans="1:8">
      <c r="A198" s="37"/>
      <c r="B198" s="86"/>
      <c r="C198" s="87"/>
      <c r="D198" s="87"/>
      <c r="E198" s="21"/>
      <c r="F198" s="21">
        <f t="shared" si="23"/>
        <v>0</v>
      </c>
      <c r="G198" s="21"/>
      <c r="H198" s="21"/>
    </row>
    <row r="199" hidden="1" spans="1:8">
      <c r="A199" s="37"/>
      <c r="B199" s="86"/>
      <c r="C199" s="87"/>
      <c r="D199" s="87"/>
      <c r="E199" s="21"/>
      <c r="F199" s="21">
        <f t="shared" si="23"/>
        <v>0</v>
      </c>
      <c r="G199" s="21"/>
      <c r="H199" s="21"/>
    </row>
    <row r="200" hidden="1" spans="1:8">
      <c r="A200" s="37"/>
      <c r="B200" s="30"/>
      <c r="C200" s="32"/>
      <c r="D200" s="57"/>
      <c r="E200" s="21"/>
      <c r="F200" s="21">
        <f t="shared" si="23"/>
        <v>0</v>
      </c>
      <c r="G200" s="21"/>
      <c r="H200" s="21"/>
    </row>
    <row r="201" hidden="1" spans="1:8">
      <c r="A201" s="37"/>
      <c r="B201" s="30"/>
      <c r="C201" s="32"/>
      <c r="D201" s="21"/>
      <c r="E201" s="21"/>
      <c r="F201" s="21">
        <f t="shared" si="23"/>
        <v>0</v>
      </c>
      <c r="G201" s="21"/>
      <c r="H201" s="21"/>
    </row>
    <row r="202" hidden="1" spans="1:8">
      <c r="A202" s="37"/>
      <c r="B202" s="30"/>
      <c r="C202" s="32"/>
      <c r="D202" s="21"/>
      <c r="E202" s="21"/>
      <c r="F202" s="21">
        <f t="shared" si="23"/>
        <v>0</v>
      </c>
      <c r="G202" s="21"/>
      <c r="H202" s="21"/>
    </row>
    <row r="203" hidden="1" spans="1:8">
      <c r="A203" s="37"/>
      <c r="B203" s="30"/>
      <c r="C203" s="32"/>
      <c r="D203" s="21"/>
      <c r="E203" s="21"/>
      <c r="F203" s="21">
        <f t="shared" si="23"/>
        <v>0</v>
      </c>
      <c r="G203" s="21"/>
      <c r="H203" s="21"/>
    </row>
    <row r="204" hidden="1" spans="1:8">
      <c r="A204" s="37"/>
      <c r="B204" s="30"/>
      <c r="C204" s="32"/>
      <c r="D204" s="21"/>
      <c r="E204" s="21"/>
      <c r="F204" s="21">
        <f t="shared" si="23"/>
        <v>0</v>
      </c>
      <c r="G204" s="21"/>
      <c r="H204" s="21"/>
    </row>
    <row r="205" hidden="1" spans="1:8">
      <c r="A205" s="37"/>
      <c r="B205" s="30"/>
      <c r="C205" s="32"/>
      <c r="D205" s="21"/>
      <c r="E205" s="21"/>
      <c r="F205" s="21">
        <f t="shared" si="23"/>
        <v>0</v>
      </c>
      <c r="G205" s="21"/>
      <c r="H205" s="21"/>
    </row>
    <row r="206" hidden="1" spans="1:8">
      <c r="A206" s="37"/>
      <c r="B206" s="30"/>
      <c r="C206" s="32"/>
      <c r="D206" s="21"/>
      <c r="E206" s="21"/>
      <c r="F206" s="21">
        <f t="shared" si="23"/>
        <v>0</v>
      </c>
      <c r="G206" s="21"/>
      <c r="H206" s="21"/>
    </row>
    <row r="207" hidden="1" spans="1:8">
      <c r="A207" s="37"/>
      <c r="B207" s="30"/>
      <c r="C207" s="32"/>
      <c r="D207" s="21"/>
      <c r="E207" s="21"/>
      <c r="F207" s="21">
        <f t="shared" si="23"/>
        <v>0</v>
      </c>
      <c r="G207" s="21"/>
      <c r="H207" s="21"/>
    </row>
    <row r="208" hidden="1" spans="1:8">
      <c r="A208" s="37"/>
      <c r="B208" s="30"/>
      <c r="C208" s="32"/>
      <c r="D208" s="21"/>
      <c r="E208" s="21"/>
      <c r="F208" s="21">
        <f t="shared" si="23"/>
        <v>0</v>
      </c>
      <c r="G208" s="21"/>
      <c r="H208" s="21"/>
    </row>
    <row r="209" hidden="1" spans="1:8">
      <c r="A209" s="37"/>
      <c r="B209" s="30"/>
      <c r="C209" s="32"/>
      <c r="D209" s="21"/>
      <c r="E209" s="21"/>
      <c r="F209" s="21">
        <f t="shared" si="23"/>
        <v>0</v>
      </c>
      <c r="G209" s="21"/>
      <c r="H209" s="21"/>
    </row>
    <row r="210" hidden="1" spans="1:8">
      <c r="A210" s="37"/>
      <c r="B210" s="30"/>
      <c r="C210" s="32"/>
      <c r="D210" s="21"/>
      <c r="E210" s="21"/>
      <c r="F210" s="21">
        <f t="shared" si="23"/>
        <v>0</v>
      </c>
      <c r="G210" s="21"/>
      <c r="H210" s="21"/>
    </row>
    <row r="211" hidden="1" spans="1:8">
      <c r="A211" s="37"/>
      <c r="B211" s="30"/>
      <c r="C211" s="32"/>
      <c r="D211" s="21"/>
      <c r="E211" s="21"/>
      <c r="F211" s="21">
        <f t="shared" si="23"/>
        <v>0</v>
      </c>
      <c r="G211" s="21"/>
      <c r="H211" s="21"/>
    </row>
    <row r="212" hidden="1" spans="1:8">
      <c r="A212" s="20"/>
      <c r="B212" s="30"/>
      <c r="C212" s="32"/>
      <c r="D212" s="21"/>
      <c r="E212" s="21"/>
      <c r="F212" s="21">
        <f t="shared" si="23"/>
        <v>0</v>
      </c>
      <c r="G212" s="21"/>
      <c r="H212" s="21"/>
    </row>
    <row r="213" hidden="1" spans="1:8">
      <c r="A213" s="20"/>
      <c r="B213" s="30"/>
      <c r="C213" s="32"/>
      <c r="D213" s="21"/>
      <c r="E213" s="21"/>
      <c r="F213" s="21">
        <f t="shared" si="23"/>
        <v>0</v>
      </c>
      <c r="G213" s="21"/>
      <c r="H213" s="21"/>
    </row>
    <row r="214" hidden="1" spans="1:8">
      <c r="A214" s="20"/>
      <c r="B214" s="30"/>
      <c r="C214" s="32"/>
      <c r="D214" s="21"/>
      <c r="E214" s="21"/>
      <c r="F214" s="21">
        <f t="shared" si="23"/>
        <v>0</v>
      </c>
      <c r="G214" s="21"/>
      <c r="H214" s="21"/>
    </row>
    <row r="215" hidden="1" spans="1:8">
      <c r="A215" s="20"/>
      <c r="B215" s="30"/>
      <c r="C215" s="32"/>
      <c r="D215" s="21"/>
      <c r="E215" s="21"/>
      <c r="F215" s="21">
        <f t="shared" si="23"/>
        <v>0</v>
      </c>
      <c r="G215" s="21"/>
      <c r="H215" s="21"/>
    </row>
    <row r="216" s="4" customFormat="1" ht="14.25" hidden="1" spans="1:11">
      <c r="A216" s="23"/>
      <c r="B216" s="45" t="s">
        <v>387</v>
      </c>
      <c r="C216" s="46"/>
      <c r="D216" s="24"/>
      <c r="E216" s="24"/>
      <c r="F216" s="24">
        <f>SUM(F194:F215)</f>
        <v>0</v>
      </c>
      <c r="G216" s="24">
        <f t="shared" ref="G216:H216" si="24">SUM(G194:G215)</f>
        <v>0</v>
      </c>
      <c r="H216" s="24">
        <f t="shared" si="24"/>
        <v>0</v>
      </c>
      <c r="I216" s="44"/>
      <c r="J216" s="44"/>
      <c r="K216" s="44"/>
    </row>
    <row r="217" ht="15.75"/>
    <row r="218" ht="15.75" spans="1:8">
      <c r="A218" s="65"/>
      <c r="B218" s="66" t="s">
        <v>554</v>
      </c>
      <c r="C218" s="67"/>
      <c r="D218" s="67"/>
      <c r="E218" s="68"/>
      <c r="F218" s="69">
        <f>F216+F188+F162+F138+G126+F114+G102+F89+F77+F65+F53+F40+I28</f>
        <v>590400</v>
      </c>
      <c r="G218" s="69">
        <f>G216+G188+G162+G138+H126+G114+H102+G89+G77+G65+G53+G40+J28</f>
        <v>590400</v>
      </c>
      <c r="H218" s="69">
        <f>H216+H188+H162+H138+I126+H114+I102+H89+H77+H65+H53+H40+K28</f>
        <v>590400</v>
      </c>
    </row>
    <row r="221" s="6" customFormat="1" ht="20.25" customHeight="1" spans="1:21">
      <c r="A221" s="6" t="s">
        <v>267</v>
      </c>
      <c r="D221" s="70" t="str">
        <f>закупки!AQ30</f>
        <v>Заведующий</v>
      </c>
      <c r="E221" s="71"/>
      <c r="F221" s="70"/>
      <c r="G221" s="71"/>
      <c r="H221" s="70" t="str">
        <f>закупки!BY30</f>
        <v>Измайлова Н.В.</v>
      </c>
      <c r="I221" s="70"/>
      <c r="J221" s="71"/>
      <c r="K221" s="71"/>
      <c r="L221" s="71"/>
      <c r="M221" s="71"/>
      <c r="N221" s="71"/>
      <c r="O221" s="71"/>
      <c r="P221" s="71"/>
      <c r="Q221" s="71"/>
      <c r="R221" s="71"/>
      <c r="S221" s="71"/>
      <c r="T221" s="71"/>
      <c r="U221" s="77"/>
    </row>
    <row r="222" s="6" customFormat="1" ht="20.25" customHeight="1" spans="1:21">
      <c r="A222" s="6" t="s">
        <v>268</v>
      </c>
      <c r="D222" s="72" t="s">
        <v>555</v>
      </c>
      <c r="E222" s="73"/>
      <c r="F222" s="72" t="s">
        <v>556</v>
      </c>
      <c r="G222" s="73"/>
      <c r="H222" s="74" t="s">
        <v>557</v>
      </c>
      <c r="I222" s="74"/>
      <c r="J222" s="73"/>
      <c r="K222" s="73"/>
      <c r="L222" s="73"/>
      <c r="M222" s="73"/>
      <c r="N222" s="73"/>
      <c r="O222" s="73"/>
      <c r="P222" s="73"/>
      <c r="Q222" s="73"/>
      <c r="R222" s="73"/>
      <c r="S222" s="73"/>
      <c r="T222" s="73"/>
      <c r="U222" s="77"/>
    </row>
    <row r="223" s="6" customFormat="1" spans="1:1">
      <c r="A223" s="75"/>
    </row>
    <row r="224" s="6" customFormat="1" spans="1:8">
      <c r="A224" s="75" t="s">
        <v>271</v>
      </c>
      <c r="B224" s="75"/>
      <c r="C224" s="70" t="str">
        <f>закупки!AM33</f>
        <v>Гл.бухгалтер</v>
      </c>
      <c r="D224" s="71"/>
      <c r="E224" s="70" t="str">
        <f>закупки!BG33</f>
        <v>Родионова Н.А.</v>
      </c>
      <c r="F224" s="71"/>
      <c r="G224" s="76" t="str">
        <f>закупки!CA33</f>
        <v>31-55-99</v>
      </c>
      <c r="H224" s="70"/>
    </row>
    <row r="225" s="6" customFormat="1" spans="3:8">
      <c r="C225" s="72" t="s">
        <v>558</v>
      </c>
      <c r="D225" s="73"/>
      <c r="E225" s="74" t="s">
        <v>275</v>
      </c>
      <c r="F225" s="73"/>
      <c r="G225" s="74" t="s">
        <v>276</v>
      </c>
      <c r="H225" s="74"/>
    </row>
    <row r="226" s="6" customFormat="1"/>
    <row r="227" s="6" customFormat="1"/>
    <row r="228" s="6" customFormat="1"/>
    <row r="229" s="6" customFormat="1"/>
    <row r="230" s="6" customFormat="1" customHeight="1" spans="1:5">
      <c r="A230" s="75" t="s">
        <v>559</v>
      </c>
      <c r="B230" s="75"/>
      <c r="C230" s="75"/>
      <c r="D230" s="75"/>
      <c r="E230" s="75"/>
    </row>
  </sheetData>
  <mergeCells count="127">
    <mergeCell ref="J1:K1"/>
    <mergeCell ref="I2:K2"/>
    <mergeCell ref="A3:K3"/>
    <mergeCell ref="A6:K6"/>
    <mergeCell ref="A8:B8"/>
    <mergeCell ref="A10:C10"/>
    <mergeCell ref="D15:G15"/>
    <mergeCell ref="A42:H42"/>
    <mergeCell ref="B44:D44"/>
    <mergeCell ref="B45:D45"/>
    <mergeCell ref="B46:D46"/>
    <mergeCell ref="B47:D47"/>
    <mergeCell ref="B48:D48"/>
    <mergeCell ref="B49:D49"/>
    <mergeCell ref="B50:D50"/>
    <mergeCell ref="B51:D51"/>
    <mergeCell ref="B52:D52"/>
    <mergeCell ref="B53:D53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A79:H79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4:C94"/>
    <mergeCell ref="B95:C95"/>
    <mergeCell ref="B96:C96"/>
    <mergeCell ref="B97:C97"/>
    <mergeCell ref="B100:C100"/>
    <mergeCell ref="B101:C101"/>
    <mergeCell ref="B102:C102"/>
    <mergeCell ref="B106:C106"/>
    <mergeCell ref="B107:C107"/>
    <mergeCell ref="B108:C108"/>
    <mergeCell ref="B109:C109"/>
    <mergeCell ref="B110:C110"/>
    <mergeCell ref="B111:C111"/>
    <mergeCell ref="B112:C112"/>
    <mergeCell ref="B113:C113"/>
    <mergeCell ref="B114:C114"/>
    <mergeCell ref="B118:C118"/>
    <mergeCell ref="B119:C119"/>
    <mergeCell ref="B120:C120"/>
    <mergeCell ref="B121:C121"/>
    <mergeCell ref="B122:C122"/>
    <mergeCell ref="B123:C123"/>
    <mergeCell ref="B124:C124"/>
    <mergeCell ref="B125:C125"/>
    <mergeCell ref="B126:C126"/>
    <mergeCell ref="B130:C130"/>
    <mergeCell ref="B131:C131"/>
    <mergeCell ref="B132:C132"/>
    <mergeCell ref="B133:C133"/>
    <mergeCell ref="B134:C134"/>
    <mergeCell ref="B135:C135"/>
    <mergeCell ref="B136:C136"/>
    <mergeCell ref="B137:C137"/>
    <mergeCell ref="B138:C138"/>
    <mergeCell ref="B142:C142"/>
    <mergeCell ref="B143:C143"/>
    <mergeCell ref="B144:C144"/>
    <mergeCell ref="B145:C145"/>
    <mergeCell ref="B158:C158"/>
    <mergeCell ref="B159:C159"/>
    <mergeCell ref="B160:C160"/>
    <mergeCell ref="B161:C161"/>
    <mergeCell ref="B162:C162"/>
    <mergeCell ref="B166:C166"/>
    <mergeCell ref="B167:C167"/>
    <mergeCell ref="B168:C168"/>
    <mergeCell ref="B169:C169"/>
    <mergeCell ref="B170:C170"/>
    <mergeCell ref="B171:C171"/>
    <mergeCell ref="B172:C172"/>
    <mergeCell ref="B173:C173"/>
    <mergeCell ref="B174:C174"/>
    <mergeCell ref="B175:C175"/>
    <mergeCell ref="B176:C176"/>
    <mergeCell ref="B177:C177"/>
    <mergeCell ref="B185:C185"/>
    <mergeCell ref="B186:C186"/>
    <mergeCell ref="B187:C187"/>
    <mergeCell ref="B188:C188"/>
    <mergeCell ref="B192:C192"/>
    <mergeCell ref="B193:C193"/>
    <mergeCell ref="B194:C194"/>
    <mergeCell ref="B212:C212"/>
    <mergeCell ref="B213:C213"/>
    <mergeCell ref="B214:C214"/>
    <mergeCell ref="B215:C215"/>
    <mergeCell ref="B216:C216"/>
    <mergeCell ref="B218:E218"/>
    <mergeCell ref="A221:C221"/>
    <mergeCell ref="A222:C222"/>
    <mergeCell ref="A224:B224"/>
    <mergeCell ref="G225:H225"/>
    <mergeCell ref="A230:E230"/>
    <mergeCell ref="A15:A17"/>
    <mergeCell ref="B15:B17"/>
    <mergeCell ref="C15:C17"/>
    <mergeCell ref="D16:D17"/>
    <mergeCell ref="H15:H17"/>
    <mergeCell ref="I15:I17"/>
    <mergeCell ref="J15:J17"/>
    <mergeCell ref="K15:K17"/>
  </mergeCells>
  <pageMargins left="0.320833333333333" right="0.263541666666667" top="0.75" bottom="0.75" header="0.3" footer="0.3"/>
  <pageSetup paperSize="9" scale="62" orientation="portrait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248"/>
  <sheetViews>
    <sheetView topLeftCell="A239" workbookViewId="0">
      <selection activeCell="A248" sqref="A248:E248"/>
    </sheetView>
  </sheetViews>
  <sheetFormatPr defaultColWidth="9.14285714285714" defaultRowHeight="15"/>
  <cols>
    <col min="1" max="1" width="8.85714285714286" style="7" customWidth="1"/>
    <col min="2" max="2" width="17.7142857142857" style="8" customWidth="1"/>
    <col min="3" max="3" width="15.4285714285714" style="8" customWidth="1"/>
    <col min="4" max="5" width="14" style="8" customWidth="1"/>
    <col min="6" max="6" width="16" style="8" customWidth="1"/>
    <col min="7" max="7" width="14.5714285714286" style="8" customWidth="1"/>
    <col min="8" max="8" width="13.7142857142857" style="8" customWidth="1"/>
    <col min="9" max="9" width="15.2857142857143" style="8" customWidth="1"/>
    <col min="10" max="10" width="14.5714285714286" style="8" customWidth="1"/>
    <col min="11" max="11" width="14.1428571428571" style="8" customWidth="1"/>
    <col min="12" max="12" width="17.7142857142857" style="7" customWidth="1"/>
    <col min="13" max="16384" width="9.14285714285714" style="7"/>
  </cols>
  <sheetData>
    <row r="1" hidden="1" spans="9:11">
      <c r="I1" s="6"/>
      <c r="J1" s="40" t="s">
        <v>362</v>
      </c>
      <c r="K1" s="40"/>
    </row>
    <row r="2" hidden="1" spans="9:11">
      <c r="I2" s="41" t="s">
        <v>285</v>
      </c>
      <c r="J2" s="41"/>
      <c r="K2" s="41"/>
    </row>
    <row r="3" ht="15.75" spans="1:11">
      <c r="A3" s="9" t="s">
        <v>363</v>
      </c>
      <c r="B3" s="9"/>
      <c r="C3" s="9"/>
      <c r="D3" s="9"/>
      <c r="E3" s="9"/>
      <c r="F3" s="9"/>
      <c r="G3" s="9"/>
      <c r="H3" s="9"/>
      <c r="I3" s="9"/>
      <c r="J3" s="9"/>
      <c r="K3" s="9"/>
    </row>
    <row r="6" spans="1:11">
      <c r="A6" s="10" t="s">
        <v>364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8" spans="1:3">
      <c r="A8" s="11" t="s">
        <v>365</v>
      </c>
      <c r="B8" s="11"/>
      <c r="C8" s="12" t="s">
        <v>180</v>
      </c>
    </row>
    <row r="10" spans="1:4">
      <c r="A10" s="11" t="s">
        <v>366</v>
      </c>
      <c r="B10" s="11"/>
      <c r="C10" s="11"/>
      <c r="D10" s="13" t="s">
        <v>712</v>
      </c>
    </row>
    <row r="11" spans="1:3">
      <c r="A11" s="11"/>
      <c r="B11" s="11"/>
      <c r="C11" s="11"/>
    </row>
    <row r="12" hidden="1" spans="1:4">
      <c r="A12" s="14" t="s">
        <v>368</v>
      </c>
      <c r="B12" s="15"/>
      <c r="C12" s="15"/>
      <c r="D12" s="15"/>
    </row>
    <row r="13" hidden="1" spans="1:4">
      <c r="A13" s="14" t="s">
        <v>369</v>
      </c>
      <c r="B13" s="15"/>
      <c r="C13" s="15"/>
      <c r="D13" s="15"/>
    </row>
    <row r="14" hidden="1"/>
    <row r="15" s="1" customFormat="1" ht="12" hidden="1" spans="1:11">
      <c r="A15" s="16"/>
      <c r="B15" s="17" t="s">
        <v>370</v>
      </c>
      <c r="C15" s="17" t="s">
        <v>371</v>
      </c>
      <c r="D15" s="17" t="s">
        <v>372</v>
      </c>
      <c r="E15" s="17"/>
      <c r="F15" s="17"/>
      <c r="G15" s="17"/>
      <c r="H15" s="17" t="s">
        <v>373</v>
      </c>
      <c r="I15" s="17" t="s">
        <v>374</v>
      </c>
      <c r="J15" s="17" t="s">
        <v>375</v>
      </c>
      <c r="K15" s="17" t="s">
        <v>376</v>
      </c>
    </row>
    <row r="16" s="1" customFormat="1" ht="12" hidden="1" spans="1:11">
      <c r="A16" s="16"/>
      <c r="B16" s="17"/>
      <c r="C16" s="17"/>
      <c r="D16" s="16" t="s">
        <v>377</v>
      </c>
      <c r="E16" s="16" t="s">
        <v>54</v>
      </c>
      <c r="F16" s="16"/>
      <c r="G16" s="16"/>
      <c r="H16" s="17"/>
      <c r="I16" s="17"/>
      <c r="J16" s="17"/>
      <c r="K16" s="17"/>
    </row>
    <row r="17" s="2" customFormat="1" ht="36" hidden="1" spans="1:11">
      <c r="A17" s="16"/>
      <c r="B17" s="17"/>
      <c r="C17" s="17"/>
      <c r="D17" s="16"/>
      <c r="E17" s="18" t="s">
        <v>378</v>
      </c>
      <c r="F17" s="18" t="s">
        <v>379</v>
      </c>
      <c r="G17" s="18" t="s">
        <v>380</v>
      </c>
      <c r="H17" s="17"/>
      <c r="I17" s="17"/>
      <c r="J17" s="17"/>
      <c r="K17" s="17"/>
    </row>
    <row r="18" s="3" customFormat="1" hidden="1" spans="1:11">
      <c r="A18" s="19">
        <v>1</v>
      </c>
      <c r="B18" s="19">
        <v>2</v>
      </c>
      <c r="C18" s="19">
        <v>3</v>
      </c>
      <c r="D18" s="19">
        <v>4</v>
      </c>
      <c r="E18" s="19">
        <v>5</v>
      </c>
      <c r="F18" s="19">
        <v>6</v>
      </c>
      <c r="G18" s="19">
        <v>7</v>
      </c>
      <c r="H18" s="19">
        <v>8</v>
      </c>
      <c r="I18" s="19">
        <v>9</v>
      </c>
      <c r="J18" s="19">
        <v>10</v>
      </c>
      <c r="K18" s="19">
        <v>11</v>
      </c>
    </row>
    <row r="19" s="3" customFormat="1" hidden="1" spans="1:11">
      <c r="A19" s="19"/>
      <c r="B19" s="19" t="s">
        <v>381</v>
      </c>
      <c r="C19" s="19"/>
      <c r="D19" s="19"/>
      <c r="E19" s="19"/>
      <c r="F19" s="19"/>
      <c r="G19" s="19"/>
      <c r="H19" s="19"/>
      <c r="I19" s="19"/>
      <c r="J19" s="19"/>
      <c r="K19" s="19"/>
    </row>
    <row r="20" ht="24" hidden="1" spans="1:11">
      <c r="A20" s="20">
        <v>1</v>
      </c>
      <c r="B20" s="18" t="s">
        <v>382</v>
      </c>
      <c r="C20" s="21"/>
      <c r="D20" s="21">
        <f>E20+F20+G20</f>
        <v>0</v>
      </c>
      <c r="E20" s="21"/>
      <c r="F20" s="21"/>
      <c r="G20" s="21"/>
      <c r="H20" s="21"/>
      <c r="I20" s="21">
        <f>C20*D20+H20</f>
        <v>0</v>
      </c>
      <c r="J20" s="21"/>
      <c r="K20" s="21"/>
    </row>
    <row r="21" hidden="1" spans="1:11">
      <c r="A21" s="20">
        <v>2</v>
      </c>
      <c r="B21" s="18" t="s">
        <v>383</v>
      </c>
      <c r="C21" s="21"/>
      <c r="D21" s="21">
        <f t="shared" ref="D21:D23" si="0">E21+F21+G21</f>
        <v>0</v>
      </c>
      <c r="E21" s="21"/>
      <c r="F21" s="21"/>
      <c r="G21" s="21"/>
      <c r="H21" s="21"/>
      <c r="I21" s="21">
        <f t="shared" ref="I21:I23" si="1">C21*D21+H21</f>
        <v>0</v>
      </c>
      <c r="J21" s="21"/>
      <c r="K21" s="21"/>
    </row>
    <row r="22" hidden="1" spans="1:11">
      <c r="A22" s="20">
        <v>3</v>
      </c>
      <c r="B22" s="18" t="s">
        <v>384</v>
      </c>
      <c r="C22" s="21"/>
      <c r="D22" s="21">
        <f t="shared" si="0"/>
        <v>0</v>
      </c>
      <c r="E22" s="21"/>
      <c r="F22" s="21"/>
      <c r="G22" s="21"/>
      <c r="H22" s="21"/>
      <c r="I22" s="36">
        <f>ROUND((C22*D22+H22)*7,0)</f>
        <v>0</v>
      </c>
      <c r="J22" s="36"/>
      <c r="K22" s="42"/>
    </row>
    <row r="23" hidden="1" spans="1:11">
      <c r="A23" s="19"/>
      <c r="B23" s="19"/>
      <c r="C23" s="19"/>
      <c r="D23" s="21">
        <f t="shared" si="0"/>
        <v>0</v>
      </c>
      <c r="E23" s="21"/>
      <c r="F23" s="21"/>
      <c r="G23" s="21"/>
      <c r="H23" s="21"/>
      <c r="I23" s="36">
        <f t="shared" si="1"/>
        <v>0</v>
      </c>
      <c r="J23" s="36"/>
      <c r="K23" s="36"/>
    </row>
    <row r="24" s="3" customFormat="1" hidden="1" spans="1:11">
      <c r="A24" s="19"/>
      <c r="B24" s="19" t="s">
        <v>572</v>
      </c>
      <c r="C24" s="19"/>
      <c r="D24" s="19"/>
      <c r="E24" s="19"/>
      <c r="F24" s="19"/>
      <c r="G24" s="19"/>
      <c r="H24" s="19"/>
      <c r="I24" s="19"/>
      <c r="J24" s="19"/>
      <c r="K24" s="19"/>
    </row>
    <row r="25" ht="24" hidden="1" spans="1:11">
      <c r="A25" s="20">
        <v>1</v>
      </c>
      <c r="B25" s="18" t="s">
        <v>382</v>
      </c>
      <c r="C25" s="21"/>
      <c r="D25" s="21">
        <f>E25+F25+G25</f>
        <v>0</v>
      </c>
      <c r="E25" s="21"/>
      <c r="F25" s="21"/>
      <c r="G25" s="21"/>
      <c r="H25" s="21"/>
      <c r="I25" s="21">
        <f>C25*D25+H25</f>
        <v>0</v>
      </c>
      <c r="J25" s="21"/>
      <c r="K25" s="21"/>
    </row>
    <row r="26" hidden="1" spans="1:11">
      <c r="A26" s="20">
        <v>2</v>
      </c>
      <c r="B26" s="18" t="s">
        <v>383</v>
      </c>
      <c r="C26" s="21"/>
      <c r="D26" s="21">
        <f t="shared" ref="D26:D27" si="2">E26+F26+G26</f>
        <v>0</v>
      </c>
      <c r="E26" s="21"/>
      <c r="F26" s="21"/>
      <c r="G26" s="21"/>
      <c r="H26" s="21"/>
      <c r="I26" s="21">
        <f t="shared" ref="I26" si="3">C26*D26+H26</f>
        <v>0</v>
      </c>
      <c r="J26" s="21"/>
      <c r="K26" s="21"/>
    </row>
    <row r="27" hidden="1" spans="1:11">
      <c r="A27" s="20">
        <v>3</v>
      </c>
      <c r="B27" s="18" t="s">
        <v>384</v>
      </c>
      <c r="C27" s="21"/>
      <c r="D27" s="21">
        <f t="shared" si="2"/>
        <v>0</v>
      </c>
      <c r="E27" s="21"/>
      <c r="F27" s="21"/>
      <c r="G27" s="21"/>
      <c r="H27" s="21"/>
      <c r="I27" s="36">
        <f>ROUND((C27*D27+H27)*1,0)</f>
        <v>0</v>
      </c>
      <c r="J27" s="36"/>
      <c r="K27" s="42"/>
    </row>
    <row r="28" s="4" customFormat="1" ht="14.25" hidden="1" spans="1:11">
      <c r="A28" s="23" t="s">
        <v>387</v>
      </c>
      <c r="B28" s="24"/>
      <c r="C28" s="24"/>
      <c r="D28" s="24"/>
      <c r="E28" s="24"/>
      <c r="F28" s="24"/>
      <c r="G28" s="24"/>
      <c r="H28" s="24"/>
      <c r="I28" s="39">
        <f>SUM(I20:I27)</f>
        <v>0</v>
      </c>
      <c r="J28" s="39">
        <f>SUM(J20:J27)</f>
        <v>0</v>
      </c>
      <c r="K28" s="39">
        <f>SUM(K20:K27)</f>
        <v>0</v>
      </c>
    </row>
    <row r="29" hidden="1"/>
    <row r="30" s="5" customFormat="1" ht="14.25" hidden="1" spans="1:11">
      <c r="A30" s="5" t="s">
        <v>388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</row>
    <row r="31" hidden="1"/>
    <row r="32" s="1" customFormat="1" ht="48" hidden="1" spans="1:11">
      <c r="A32" s="25" t="s">
        <v>389</v>
      </c>
      <c r="B32" s="18" t="s">
        <v>390</v>
      </c>
      <c r="C32" s="18" t="s">
        <v>391</v>
      </c>
      <c r="D32" s="18" t="s">
        <v>392</v>
      </c>
      <c r="E32" s="18" t="s">
        <v>393</v>
      </c>
      <c r="F32" s="18" t="s">
        <v>394</v>
      </c>
      <c r="G32" s="18" t="s">
        <v>394</v>
      </c>
      <c r="H32" s="18" t="s">
        <v>394</v>
      </c>
      <c r="I32" s="43"/>
      <c r="J32" s="43"/>
      <c r="K32" s="43"/>
    </row>
    <row r="33" s="3" customFormat="1" hidden="1" spans="1:8">
      <c r="A33" s="19">
        <v>1</v>
      </c>
      <c r="B33" s="19">
        <v>2</v>
      </c>
      <c r="C33" s="19">
        <v>3</v>
      </c>
      <c r="D33" s="19">
        <v>4</v>
      </c>
      <c r="E33" s="19">
        <v>5</v>
      </c>
      <c r="F33" s="19">
        <v>6</v>
      </c>
      <c r="G33" s="19">
        <v>7</v>
      </c>
      <c r="H33" s="19">
        <v>8</v>
      </c>
    </row>
    <row r="34" hidden="1" spans="1:8">
      <c r="A34" s="20"/>
      <c r="B34" s="21"/>
      <c r="C34" s="21"/>
      <c r="D34" s="21"/>
      <c r="E34" s="21"/>
      <c r="F34" s="21"/>
      <c r="G34" s="21"/>
      <c r="H34" s="21"/>
    </row>
    <row r="35" hidden="1" spans="1:8">
      <c r="A35" s="20"/>
      <c r="B35" s="21"/>
      <c r="C35" s="21"/>
      <c r="D35" s="21"/>
      <c r="E35" s="21"/>
      <c r="F35" s="21"/>
      <c r="G35" s="21"/>
      <c r="H35" s="21"/>
    </row>
    <row r="36" hidden="1" spans="1:8">
      <c r="A36" s="20"/>
      <c r="B36" s="21"/>
      <c r="C36" s="21"/>
      <c r="D36" s="21"/>
      <c r="E36" s="21"/>
      <c r="F36" s="21"/>
      <c r="G36" s="21"/>
      <c r="H36" s="21"/>
    </row>
    <row r="37" hidden="1" spans="1:8">
      <c r="A37" s="20"/>
      <c r="B37" s="21"/>
      <c r="C37" s="21"/>
      <c r="D37" s="21"/>
      <c r="E37" s="21"/>
      <c r="F37" s="21"/>
      <c r="G37" s="21"/>
      <c r="H37" s="21"/>
    </row>
    <row r="38" hidden="1" spans="1:8">
      <c r="A38" s="20"/>
      <c r="B38" s="21"/>
      <c r="C38" s="21"/>
      <c r="D38" s="21"/>
      <c r="E38" s="21"/>
      <c r="F38" s="21"/>
      <c r="G38" s="21"/>
      <c r="H38" s="21"/>
    </row>
    <row r="39" hidden="1" spans="1:8">
      <c r="A39" s="20"/>
      <c r="B39" s="21"/>
      <c r="C39" s="21"/>
      <c r="D39" s="21"/>
      <c r="E39" s="21"/>
      <c r="F39" s="21"/>
      <c r="G39" s="21"/>
      <c r="H39" s="21"/>
    </row>
    <row r="40" hidden="1" spans="1:8">
      <c r="A40" s="20"/>
      <c r="B40" s="21"/>
      <c r="C40" s="21"/>
      <c r="D40" s="21"/>
      <c r="E40" s="21"/>
      <c r="F40" s="21"/>
      <c r="G40" s="21"/>
      <c r="H40" s="21"/>
    </row>
    <row r="41" hidden="1"/>
    <row r="42" hidden="1" spans="1:8">
      <c r="A42" s="26" t="s">
        <v>395</v>
      </c>
      <c r="B42" s="26"/>
      <c r="C42" s="26"/>
      <c r="D42" s="26"/>
      <c r="E42" s="26"/>
      <c r="F42" s="26"/>
      <c r="G42" s="26"/>
      <c r="H42" s="26"/>
    </row>
    <row r="43" hidden="1"/>
    <row r="44" ht="48" hidden="1" spans="1:8">
      <c r="A44" s="25" t="s">
        <v>389</v>
      </c>
      <c r="B44" s="27" t="s">
        <v>396</v>
      </c>
      <c r="C44" s="28"/>
      <c r="D44" s="29"/>
      <c r="E44" s="18" t="s">
        <v>397</v>
      </c>
      <c r="F44" s="18" t="s">
        <v>398</v>
      </c>
      <c r="G44" s="18" t="s">
        <v>399</v>
      </c>
      <c r="H44" s="18" t="s">
        <v>400</v>
      </c>
    </row>
    <row r="45" hidden="1" spans="1:8">
      <c r="A45" s="19">
        <v>1</v>
      </c>
      <c r="B45" s="30">
        <v>2</v>
      </c>
      <c r="C45" s="31"/>
      <c r="D45" s="32"/>
      <c r="E45" s="19">
        <v>3</v>
      </c>
      <c r="F45" s="19">
        <v>4</v>
      </c>
      <c r="G45" s="19">
        <v>5</v>
      </c>
      <c r="H45" s="19">
        <v>6</v>
      </c>
    </row>
    <row r="46" hidden="1" spans="1:8">
      <c r="A46" s="20">
        <v>1</v>
      </c>
      <c r="B46" s="33" t="s">
        <v>401</v>
      </c>
      <c r="C46" s="34"/>
      <c r="D46" s="35"/>
      <c r="E46" s="36"/>
      <c r="F46" s="36">
        <f>F48</f>
        <v>0</v>
      </c>
      <c r="G46" s="36">
        <f t="shared" ref="G46:H46" si="4">G48</f>
        <v>0</v>
      </c>
      <c r="H46" s="36">
        <f t="shared" si="4"/>
        <v>0</v>
      </c>
    </row>
    <row r="47" hidden="1" spans="1:8">
      <c r="A47" s="20"/>
      <c r="B47" s="33" t="s">
        <v>54</v>
      </c>
      <c r="C47" s="34"/>
      <c r="D47" s="35"/>
      <c r="E47" s="36"/>
      <c r="F47" s="36"/>
      <c r="G47" s="36"/>
      <c r="H47" s="36"/>
    </row>
    <row r="48" hidden="1" spans="1:8">
      <c r="A48" s="37"/>
      <c r="B48" s="33" t="s">
        <v>402</v>
      </c>
      <c r="C48" s="34"/>
      <c r="D48" s="35"/>
      <c r="E48" s="36">
        <f>I22+I27</f>
        <v>0</v>
      </c>
      <c r="F48" s="36">
        <f>ROUND(E48*0.22,0)</f>
        <v>0</v>
      </c>
      <c r="G48" s="36">
        <f>ROUND(J28*0.22,0)</f>
        <v>0</v>
      </c>
      <c r="H48" s="36">
        <f>ROUND(K28*0.22,0)</f>
        <v>0</v>
      </c>
    </row>
    <row r="49" hidden="1" spans="1:8">
      <c r="A49" s="20">
        <v>2</v>
      </c>
      <c r="B49" s="33" t="s">
        <v>403</v>
      </c>
      <c r="C49" s="34"/>
      <c r="D49" s="35"/>
      <c r="E49" s="36"/>
      <c r="F49" s="36">
        <f>F50+F51</f>
        <v>0</v>
      </c>
      <c r="G49" s="36">
        <f t="shared" ref="G49:H49" si="5">G50+G51</f>
        <v>0</v>
      </c>
      <c r="H49" s="36">
        <f t="shared" si="5"/>
        <v>0</v>
      </c>
    </row>
    <row r="50" hidden="1" spans="1:8">
      <c r="A50" s="20"/>
      <c r="B50" s="33" t="s">
        <v>404</v>
      </c>
      <c r="C50" s="34"/>
      <c r="D50" s="35"/>
      <c r="E50" s="36">
        <f>E48</f>
        <v>0</v>
      </c>
      <c r="F50" s="36">
        <f>ROUND(E50*0.029,0)</f>
        <v>0</v>
      </c>
      <c r="G50" s="36">
        <f>ROUND(J28*0.029,0)</f>
        <v>0</v>
      </c>
      <c r="H50" s="36">
        <f>ROUND(K28*0.029,0)</f>
        <v>0</v>
      </c>
    </row>
    <row r="51" hidden="1" spans="1:8">
      <c r="A51" s="20"/>
      <c r="B51" s="33" t="s">
        <v>405</v>
      </c>
      <c r="C51" s="34"/>
      <c r="D51" s="35"/>
      <c r="E51" s="36">
        <f>E50</f>
        <v>0</v>
      </c>
      <c r="F51" s="36">
        <f>ROUND(E51*0.002,0)</f>
        <v>0</v>
      </c>
      <c r="G51" s="36">
        <f>ROUND(J28*0.002,0)</f>
        <v>0</v>
      </c>
      <c r="H51" s="36">
        <f>ROUND(K28*0.002,0)</f>
        <v>0</v>
      </c>
    </row>
    <row r="52" hidden="1" spans="1:8">
      <c r="A52" s="20">
        <v>3</v>
      </c>
      <c r="B52" s="33" t="s">
        <v>406</v>
      </c>
      <c r="C52" s="34"/>
      <c r="D52" s="35"/>
      <c r="E52" s="36">
        <f>E51</f>
        <v>0</v>
      </c>
      <c r="F52" s="36">
        <f>ROUND(E52*0.051,0)</f>
        <v>0</v>
      </c>
      <c r="G52" s="36">
        <f>ROUND(J28*0.051,0)</f>
        <v>0</v>
      </c>
      <c r="H52" s="36">
        <f>ROUND(K28*0.051,0)</f>
        <v>0</v>
      </c>
    </row>
    <row r="53" s="4" customFormat="1" ht="14.25" hidden="1" spans="1:11">
      <c r="A53" s="23"/>
      <c r="B53" s="38" t="s">
        <v>387</v>
      </c>
      <c r="C53" s="38"/>
      <c r="D53" s="38"/>
      <c r="E53" s="39"/>
      <c r="F53" s="39">
        <f>F46+F49+F52</f>
        <v>0</v>
      </c>
      <c r="G53" s="39">
        <f t="shared" ref="G53:H53" si="6">G46+G49+G52</f>
        <v>0</v>
      </c>
      <c r="H53" s="39">
        <f t="shared" si="6"/>
        <v>0</v>
      </c>
      <c r="I53" s="44"/>
      <c r="J53" s="44"/>
      <c r="K53" s="44"/>
    </row>
    <row r="54" hidden="1"/>
    <row r="55" s="5" customFormat="1" ht="14.25" hidden="1" spans="1:11">
      <c r="A55" s="5" t="s">
        <v>407</v>
      </c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hidden="1"/>
    <row r="57" ht="24" hidden="1" spans="1:8">
      <c r="A57" s="25" t="s">
        <v>389</v>
      </c>
      <c r="B57" s="27" t="s">
        <v>24</v>
      </c>
      <c r="C57" s="29"/>
      <c r="D57" s="18" t="s">
        <v>408</v>
      </c>
      <c r="E57" s="18" t="s">
        <v>409</v>
      </c>
      <c r="F57" s="18" t="s">
        <v>410</v>
      </c>
      <c r="G57" s="18" t="s">
        <v>411</v>
      </c>
      <c r="H57" s="18" t="s">
        <v>412</v>
      </c>
    </row>
    <row r="58" hidden="1" spans="1:8">
      <c r="A58" s="19">
        <v>1</v>
      </c>
      <c r="B58" s="30">
        <v>2</v>
      </c>
      <c r="C58" s="32"/>
      <c r="D58" s="19">
        <v>3</v>
      </c>
      <c r="E58" s="19">
        <v>4</v>
      </c>
      <c r="F58" s="19">
        <v>5</v>
      </c>
      <c r="G58" s="19">
        <v>6</v>
      </c>
      <c r="H58" s="19">
        <v>7</v>
      </c>
    </row>
    <row r="59" hidden="1" spans="1:8">
      <c r="A59" s="20">
        <v>1</v>
      </c>
      <c r="B59" s="30" t="s">
        <v>413</v>
      </c>
      <c r="C59" s="32"/>
      <c r="D59" s="21"/>
      <c r="E59" s="21"/>
      <c r="F59" s="36">
        <f>D59*E59</f>
        <v>0</v>
      </c>
      <c r="G59" s="36"/>
      <c r="H59" s="36"/>
    </row>
    <row r="60" hidden="1" spans="1:8">
      <c r="A60" s="20">
        <v>2</v>
      </c>
      <c r="B60" s="30" t="s">
        <v>414</v>
      </c>
      <c r="C60" s="32"/>
      <c r="D60" s="21"/>
      <c r="E60" s="21"/>
      <c r="F60" s="36">
        <f t="shared" ref="F60:F64" si="7">D60*E60</f>
        <v>0</v>
      </c>
      <c r="G60" s="36"/>
      <c r="H60" s="36"/>
    </row>
    <row r="61" hidden="1" spans="1:8">
      <c r="A61" s="20">
        <v>1</v>
      </c>
      <c r="B61" s="78" t="s">
        <v>386</v>
      </c>
      <c r="C61" s="79"/>
      <c r="D61" s="21"/>
      <c r="E61" s="21"/>
      <c r="F61" s="36">
        <f t="shared" si="7"/>
        <v>0</v>
      </c>
      <c r="G61" s="36">
        <v>0</v>
      </c>
      <c r="H61" s="36">
        <v>0</v>
      </c>
    </row>
    <row r="62" hidden="1" spans="1:8">
      <c r="A62" s="20">
        <v>2</v>
      </c>
      <c r="B62" s="30" t="s">
        <v>574</v>
      </c>
      <c r="C62" s="32"/>
      <c r="D62" s="21"/>
      <c r="E62" s="21"/>
      <c r="F62" s="36">
        <f t="shared" si="7"/>
        <v>0</v>
      </c>
      <c r="G62" s="36">
        <v>0</v>
      </c>
      <c r="H62" s="36">
        <v>0</v>
      </c>
    </row>
    <row r="63" hidden="1" spans="1:8">
      <c r="A63" s="20">
        <v>3</v>
      </c>
      <c r="B63" s="30"/>
      <c r="C63" s="32"/>
      <c r="D63" s="21"/>
      <c r="E63" s="21"/>
      <c r="F63" s="36">
        <f t="shared" si="7"/>
        <v>0</v>
      </c>
      <c r="G63" s="36"/>
      <c r="H63" s="36"/>
    </row>
    <row r="64" hidden="1" spans="1:8">
      <c r="A64" s="20"/>
      <c r="B64" s="30"/>
      <c r="C64" s="32"/>
      <c r="D64" s="21"/>
      <c r="E64" s="21"/>
      <c r="F64" s="36">
        <f t="shared" si="7"/>
        <v>0</v>
      </c>
      <c r="G64" s="36"/>
      <c r="H64" s="36"/>
    </row>
    <row r="65" s="4" customFormat="1" ht="14.25" hidden="1" spans="1:11">
      <c r="A65" s="23"/>
      <c r="B65" s="45" t="s">
        <v>387</v>
      </c>
      <c r="C65" s="46"/>
      <c r="D65" s="24"/>
      <c r="E65" s="24"/>
      <c r="F65" s="39">
        <f>SUM(F59:F64)</f>
        <v>0</v>
      </c>
      <c r="G65" s="39">
        <f t="shared" ref="G65:H65" si="8">SUM(G59:G64)</f>
        <v>0</v>
      </c>
      <c r="H65" s="39">
        <f t="shared" si="8"/>
        <v>0</v>
      </c>
      <c r="I65" s="44"/>
      <c r="J65" s="44"/>
      <c r="K65" s="44"/>
    </row>
    <row r="66" hidden="1"/>
    <row r="67" s="5" customFormat="1" ht="14.25" hidden="1" spans="1:11">
      <c r="A67" s="5" t="s">
        <v>415</v>
      </c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hidden="1"/>
    <row r="69" ht="72" hidden="1" spans="1:8">
      <c r="A69" s="25" t="s">
        <v>389</v>
      </c>
      <c r="B69" s="27" t="s">
        <v>416</v>
      </c>
      <c r="C69" s="29"/>
      <c r="D69" s="18" t="s">
        <v>417</v>
      </c>
      <c r="E69" s="18" t="s">
        <v>418</v>
      </c>
      <c r="F69" s="18" t="s">
        <v>419</v>
      </c>
      <c r="G69" s="18" t="s">
        <v>420</v>
      </c>
      <c r="H69" s="18" t="s">
        <v>421</v>
      </c>
    </row>
    <row r="70" hidden="1" spans="1:8">
      <c r="A70" s="19">
        <v>1</v>
      </c>
      <c r="B70" s="30">
        <v>2</v>
      </c>
      <c r="C70" s="32"/>
      <c r="D70" s="19">
        <v>3</v>
      </c>
      <c r="E70" s="19">
        <v>4</v>
      </c>
      <c r="F70" s="19">
        <v>5</v>
      </c>
      <c r="G70" s="19">
        <v>6</v>
      </c>
      <c r="H70" s="19">
        <v>7</v>
      </c>
    </row>
    <row r="71" hidden="1" spans="1:8">
      <c r="A71" s="20">
        <v>1</v>
      </c>
      <c r="B71" s="47" t="s">
        <v>422</v>
      </c>
      <c r="C71" s="48"/>
      <c r="D71" s="21"/>
      <c r="E71" s="49">
        <v>0.015</v>
      </c>
      <c r="F71" s="36">
        <f>ROUND(D71*E71,0)</f>
        <v>0</v>
      </c>
      <c r="G71" s="36">
        <f>F71</f>
        <v>0</v>
      </c>
      <c r="H71" s="36">
        <f>G71</f>
        <v>0</v>
      </c>
    </row>
    <row r="72" hidden="1" spans="1:8">
      <c r="A72" s="20">
        <v>2</v>
      </c>
      <c r="B72" s="47" t="s">
        <v>422</v>
      </c>
      <c r="C72" s="48"/>
      <c r="D72" s="21"/>
      <c r="E72" s="49">
        <v>0.015</v>
      </c>
      <c r="F72" s="36">
        <f t="shared" ref="F72:F75" si="9">ROUND(D72*E72,0)</f>
        <v>0</v>
      </c>
      <c r="G72" s="36">
        <f t="shared" ref="G72:H74" si="10">F72</f>
        <v>0</v>
      </c>
      <c r="H72" s="36">
        <f t="shared" si="10"/>
        <v>0</v>
      </c>
    </row>
    <row r="73" hidden="1" spans="1:8">
      <c r="A73" s="20">
        <v>3</v>
      </c>
      <c r="B73" s="47" t="s">
        <v>422</v>
      </c>
      <c r="C73" s="48"/>
      <c r="D73" s="21"/>
      <c r="E73" s="49">
        <v>0.015</v>
      </c>
      <c r="F73" s="36">
        <f t="shared" si="9"/>
        <v>0</v>
      </c>
      <c r="G73" s="36">
        <f t="shared" si="10"/>
        <v>0</v>
      </c>
      <c r="H73" s="36">
        <f t="shared" si="10"/>
        <v>0</v>
      </c>
    </row>
    <row r="74" hidden="1" spans="1:8">
      <c r="A74" s="20">
        <v>4</v>
      </c>
      <c r="B74" s="47" t="s">
        <v>422</v>
      </c>
      <c r="C74" s="48"/>
      <c r="D74" s="21"/>
      <c r="E74" s="49">
        <v>0.015</v>
      </c>
      <c r="F74" s="36">
        <f t="shared" si="9"/>
        <v>0</v>
      </c>
      <c r="G74" s="36">
        <f t="shared" si="10"/>
        <v>0</v>
      </c>
      <c r="H74" s="36">
        <f t="shared" si="10"/>
        <v>0</v>
      </c>
    </row>
    <row r="75" hidden="1" spans="1:8">
      <c r="A75" s="20">
        <v>5</v>
      </c>
      <c r="B75" s="47" t="s">
        <v>423</v>
      </c>
      <c r="C75" s="48"/>
      <c r="D75" s="21"/>
      <c r="E75" s="49">
        <v>0.022</v>
      </c>
      <c r="F75" s="36">
        <f t="shared" si="9"/>
        <v>0</v>
      </c>
      <c r="G75" s="36">
        <f>F75</f>
        <v>0</v>
      </c>
      <c r="H75" s="36">
        <f>G75</f>
        <v>0</v>
      </c>
    </row>
    <row r="76" hidden="1" spans="1:8">
      <c r="A76" s="20"/>
      <c r="B76" s="30"/>
      <c r="C76" s="32"/>
      <c r="D76" s="21"/>
      <c r="E76" s="21"/>
      <c r="F76" s="36"/>
      <c r="G76" s="36"/>
      <c r="H76" s="36"/>
    </row>
    <row r="77" s="4" customFormat="1" ht="14.25" hidden="1" spans="1:11">
      <c r="A77" s="23"/>
      <c r="B77" s="45" t="s">
        <v>387</v>
      </c>
      <c r="C77" s="46"/>
      <c r="D77" s="24"/>
      <c r="E77" s="24"/>
      <c r="F77" s="39">
        <f>SUM(F71:F76)</f>
        <v>0</v>
      </c>
      <c r="G77" s="39">
        <f>SUM(G71:G76)</f>
        <v>0</v>
      </c>
      <c r="H77" s="39">
        <f>SUM(H71:H76)</f>
        <v>0</v>
      </c>
      <c r="I77" s="44"/>
      <c r="J77" s="44"/>
      <c r="K77" s="44"/>
    </row>
    <row r="78" hidden="1"/>
    <row r="79" hidden="1" spans="1:8">
      <c r="A79" s="50" t="s">
        <v>424</v>
      </c>
      <c r="B79" s="50"/>
      <c r="C79" s="50"/>
      <c r="D79" s="50"/>
      <c r="E79" s="50"/>
      <c r="F79" s="50"/>
      <c r="G79" s="50"/>
      <c r="H79" s="50"/>
    </row>
    <row r="80" hidden="1"/>
    <row r="81" ht="36" hidden="1" spans="1:8">
      <c r="A81" s="25" t="s">
        <v>389</v>
      </c>
      <c r="B81" s="27" t="s">
        <v>24</v>
      </c>
      <c r="C81" s="29"/>
      <c r="D81" s="18" t="s">
        <v>425</v>
      </c>
      <c r="E81" s="18" t="s">
        <v>409</v>
      </c>
      <c r="F81" s="18" t="s">
        <v>426</v>
      </c>
      <c r="G81" s="18" t="s">
        <v>426</v>
      </c>
      <c r="H81" s="18" t="s">
        <v>426</v>
      </c>
    </row>
    <row r="82" hidden="1" spans="1:8">
      <c r="A82" s="19">
        <v>1</v>
      </c>
      <c r="B82" s="30">
        <v>2</v>
      </c>
      <c r="C82" s="32"/>
      <c r="D82" s="19">
        <v>3</v>
      </c>
      <c r="E82" s="19">
        <v>4</v>
      </c>
      <c r="F82" s="19">
        <v>5</v>
      </c>
      <c r="G82" s="19">
        <v>6</v>
      </c>
      <c r="H82" s="19">
        <v>7</v>
      </c>
    </row>
    <row r="83" hidden="1" spans="1:8">
      <c r="A83" s="20"/>
      <c r="B83" s="30"/>
      <c r="C83" s="32"/>
      <c r="D83" s="21"/>
      <c r="E83" s="21"/>
      <c r="F83" s="21"/>
      <c r="G83" s="21"/>
      <c r="H83" s="21"/>
    </row>
    <row r="84" hidden="1" spans="1:8">
      <c r="A84" s="20"/>
      <c r="B84" s="30"/>
      <c r="C84" s="32"/>
      <c r="D84" s="21"/>
      <c r="E84" s="21"/>
      <c r="F84" s="21"/>
      <c r="G84" s="21"/>
      <c r="H84" s="21"/>
    </row>
    <row r="85" hidden="1" spans="1:8">
      <c r="A85" s="20"/>
      <c r="B85" s="30"/>
      <c r="C85" s="32"/>
      <c r="D85" s="21"/>
      <c r="E85" s="21"/>
      <c r="F85" s="21"/>
      <c r="G85" s="21"/>
      <c r="H85" s="21"/>
    </row>
    <row r="86" hidden="1" spans="1:8">
      <c r="A86" s="20"/>
      <c r="B86" s="30"/>
      <c r="C86" s="32"/>
      <c r="D86" s="21"/>
      <c r="E86" s="21"/>
      <c r="F86" s="21"/>
      <c r="G86" s="21"/>
      <c r="H86" s="21"/>
    </row>
    <row r="87" hidden="1" spans="1:8">
      <c r="A87" s="20"/>
      <c r="B87" s="30"/>
      <c r="C87" s="32"/>
      <c r="D87" s="21"/>
      <c r="E87" s="21"/>
      <c r="F87" s="21"/>
      <c r="G87" s="21"/>
      <c r="H87" s="21"/>
    </row>
    <row r="88" hidden="1" spans="1:8">
      <c r="A88" s="20"/>
      <c r="B88" s="30"/>
      <c r="C88" s="32"/>
      <c r="D88" s="21"/>
      <c r="E88" s="21"/>
      <c r="F88" s="21"/>
      <c r="G88" s="21"/>
      <c r="H88" s="21"/>
    </row>
    <row r="89" hidden="1" spans="1:8">
      <c r="A89" s="20"/>
      <c r="B89" s="30" t="s">
        <v>387</v>
      </c>
      <c r="C89" s="32"/>
      <c r="D89" s="21"/>
      <c r="E89" s="21"/>
      <c r="F89" s="21"/>
      <c r="G89" s="21"/>
      <c r="H89" s="21"/>
    </row>
    <row r="90" hidden="1"/>
    <row r="91" s="5" customFormat="1" ht="14.25" spans="1:11">
      <c r="A91" s="5" t="s">
        <v>427</v>
      </c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="5" customFormat="1" ht="14.25" hidden="1" spans="1:11">
      <c r="A92" s="5" t="s">
        <v>428</v>
      </c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hidden="1"/>
    <row r="94" ht="24" hidden="1" spans="1:9">
      <c r="A94" s="25" t="s">
        <v>389</v>
      </c>
      <c r="B94" s="27" t="s">
        <v>560</v>
      </c>
      <c r="C94" s="29"/>
      <c r="D94" s="18" t="s">
        <v>429</v>
      </c>
      <c r="E94" s="18" t="s">
        <v>430</v>
      </c>
      <c r="F94" s="18" t="s">
        <v>431</v>
      </c>
      <c r="G94" s="18" t="s">
        <v>410</v>
      </c>
      <c r="H94" s="18" t="s">
        <v>411</v>
      </c>
      <c r="I94" s="18" t="s">
        <v>412</v>
      </c>
    </row>
    <row r="95" hidden="1" spans="1:9">
      <c r="A95" s="19">
        <v>1</v>
      </c>
      <c r="B95" s="30">
        <v>2</v>
      </c>
      <c r="C95" s="32"/>
      <c r="D95" s="19">
        <v>3</v>
      </c>
      <c r="E95" s="19">
        <v>4</v>
      </c>
      <c r="F95" s="19">
        <v>5</v>
      </c>
      <c r="G95" s="19">
        <v>6</v>
      </c>
      <c r="H95" s="19">
        <v>7</v>
      </c>
      <c r="I95" s="19">
        <v>8</v>
      </c>
    </row>
    <row r="96" hidden="1" spans="1:9">
      <c r="A96" s="20"/>
      <c r="B96" s="47" t="s">
        <v>561</v>
      </c>
      <c r="C96" s="48"/>
      <c r="D96" s="21"/>
      <c r="E96" s="21"/>
      <c r="F96" s="21"/>
      <c r="G96" s="36"/>
      <c r="H96" s="36"/>
      <c r="I96" s="36"/>
    </row>
    <row r="97" hidden="1" spans="1:9">
      <c r="A97" s="20"/>
      <c r="B97" s="47" t="s">
        <v>434</v>
      </c>
      <c r="C97" s="48"/>
      <c r="D97" s="21"/>
      <c r="E97" s="21">
        <v>12</v>
      </c>
      <c r="F97" s="21">
        <v>247.8</v>
      </c>
      <c r="G97" s="36">
        <f>D97*E97*F97</f>
        <v>0</v>
      </c>
      <c r="H97" s="36"/>
      <c r="I97" s="36"/>
    </row>
    <row r="98" hidden="1" spans="1:9">
      <c r="A98" s="20"/>
      <c r="B98" s="47" t="s">
        <v>435</v>
      </c>
      <c r="C98" s="48"/>
      <c r="D98" s="21"/>
      <c r="E98" s="21">
        <v>12</v>
      </c>
      <c r="F98" s="21">
        <v>0.61</v>
      </c>
      <c r="G98" s="36">
        <f t="shared" ref="G98:G99" si="11">D98*E98*F98</f>
        <v>0</v>
      </c>
      <c r="H98" s="36"/>
      <c r="I98" s="36"/>
    </row>
    <row r="99" hidden="1" spans="1:9">
      <c r="A99" s="20"/>
      <c r="B99" s="47" t="s">
        <v>436</v>
      </c>
      <c r="C99" s="48"/>
      <c r="D99" s="21"/>
      <c r="E99" s="21">
        <v>12</v>
      </c>
      <c r="F99" s="21">
        <v>2341.43</v>
      </c>
      <c r="G99" s="36">
        <f t="shared" si="11"/>
        <v>0</v>
      </c>
      <c r="H99" s="36"/>
      <c r="I99" s="36"/>
    </row>
    <row r="100" hidden="1" spans="1:9">
      <c r="A100" s="20"/>
      <c r="B100" s="30"/>
      <c r="C100" s="32"/>
      <c r="D100" s="21"/>
      <c r="E100" s="21"/>
      <c r="F100" s="21"/>
      <c r="G100" s="36"/>
      <c r="H100" s="36"/>
      <c r="I100" s="36"/>
    </row>
    <row r="101" hidden="1" spans="1:9">
      <c r="A101" s="20"/>
      <c r="B101" s="30"/>
      <c r="C101" s="32"/>
      <c r="D101" s="21"/>
      <c r="E101" s="21"/>
      <c r="F101" s="21"/>
      <c r="G101" s="36"/>
      <c r="H101" s="36"/>
      <c r="I101" s="36"/>
    </row>
    <row r="102" s="4" customFormat="1" ht="14.25" hidden="1" spans="1:11">
      <c r="A102" s="23"/>
      <c r="B102" s="45" t="s">
        <v>387</v>
      </c>
      <c r="C102" s="46"/>
      <c r="D102" s="24"/>
      <c r="E102" s="24"/>
      <c r="F102" s="24"/>
      <c r="G102" s="39">
        <f>ROUND(SUM(G96:G101),0)</f>
        <v>0</v>
      </c>
      <c r="H102" s="39">
        <f t="shared" ref="H102:I102" si="12">SUM(H96:H101)</f>
        <v>0</v>
      </c>
      <c r="I102" s="39">
        <f t="shared" si="12"/>
        <v>0</v>
      </c>
      <c r="J102" s="44"/>
      <c r="K102" s="44"/>
    </row>
    <row r="103" hidden="1"/>
    <row r="104" s="5" customFormat="1" ht="14.25" hidden="1" spans="1:11">
      <c r="A104" s="5" t="s">
        <v>437</v>
      </c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hidden="1"/>
    <row r="106" ht="36" hidden="1" spans="1:8">
      <c r="A106" s="25" t="s">
        <v>389</v>
      </c>
      <c r="B106" s="27" t="s">
        <v>416</v>
      </c>
      <c r="C106" s="29"/>
      <c r="D106" s="18" t="s">
        <v>438</v>
      </c>
      <c r="E106" s="18" t="s">
        <v>439</v>
      </c>
      <c r="F106" s="18" t="s">
        <v>410</v>
      </c>
      <c r="G106" s="18" t="s">
        <v>411</v>
      </c>
      <c r="H106" s="18" t="s">
        <v>412</v>
      </c>
    </row>
    <row r="107" hidden="1" spans="1:8">
      <c r="A107" s="19">
        <v>1</v>
      </c>
      <c r="B107" s="30">
        <v>2</v>
      </c>
      <c r="C107" s="32"/>
      <c r="D107" s="19">
        <v>3</v>
      </c>
      <c r="E107" s="19">
        <v>4</v>
      </c>
      <c r="F107" s="19">
        <v>5</v>
      </c>
      <c r="G107" s="19">
        <v>6</v>
      </c>
      <c r="H107" s="19">
        <v>7</v>
      </c>
    </row>
    <row r="108" hidden="1" spans="1:8">
      <c r="A108" s="20">
        <v>1</v>
      </c>
      <c r="B108" s="30" t="s">
        <v>440</v>
      </c>
      <c r="C108" s="32"/>
      <c r="D108" s="21"/>
      <c r="E108" s="21"/>
      <c r="F108" s="21">
        <f>D108*E108</f>
        <v>0</v>
      </c>
      <c r="G108" s="21"/>
      <c r="H108" s="21"/>
    </row>
    <row r="109" hidden="1" spans="1:8">
      <c r="A109" s="20"/>
      <c r="B109" s="30"/>
      <c r="C109" s="32"/>
      <c r="D109" s="21"/>
      <c r="E109" s="21"/>
      <c r="F109" s="21">
        <f t="shared" ref="F109:F113" si="13">D109*E109</f>
        <v>0</v>
      </c>
      <c r="G109" s="21"/>
      <c r="H109" s="21"/>
    </row>
    <row r="110" hidden="1" spans="1:8">
      <c r="A110" s="20"/>
      <c r="B110" s="30"/>
      <c r="C110" s="32"/>
      <c r="D110" s="21"/>
      <c r="E110" s="21"/>
      <c r="F110" s="21">
        <f t="shared" si="13"/>
        <v>0</v>
      </c>
      <c r="G110" s="21"/>
      <c r="H110" s="21"/>
    </row>
    <row r="111" hidden="1" spans="1:8">
      <c r="A111" s="20"/>
      <c r="B111" s="30"/>
      <c r="C111" s="32"/>
      <c r="D111" s="21"/>
      <c r="E111" s="21"/>
      <c r="F111" s="21">
        <f t="shared" si="13"/>
        <v>0</v>
      </c>
      <c r="G111" s="21"/>
      <c r="H111" s="21"/>
    </row>
    <row r="112" hidden="1" spans="1:8">
      <c r="A112" s="20"/>
      <c r="B112" s="30"/>
      <c r="C112" s="32"/>
      <c r="D112" s="21"/>
      <c r="E112" s="21"/>
      <c r="F112" s="21">
        <f t="shared" si="13"/>
        <v>0</v>
      </c>
      <c r="G112" s="21"/>
      <c r="H112" s="21"/>
    </row>
    <row r="113" hidden="1" spans="1:8">
      <c r="A113" s="20"/>
      <c r="B113" s="30"/>
      <c r="C113" s="32"/>
      <c r="D113" s="21"/>
      <c r="E113" s="21"/>
      <c r="F113" s="21">
        <f t="shared" si="13"/>
        <v>0</v>
      </c>
      <c r="G113" s="21"/>
      <c r="H113" s="21"/>
    </row>
    <row r="114" s="4" customFormat="1" ht="14.25" hidden="1" spans="1:11">
      <c r="A114" s="23"/>
      <c r="B114" s="45" t="s">
        <v>387</v>
      </c>
      <c r="C114" s="46"/>
      <c r="D114" s="24"/>
      <c r="E114" s="24"/>
      <c r="F114" s="24">
        <f>SUM(F108:F113)</f>
        <v>0</v>
      </c>
      <c r="G114" s="24">
        <f t="shared" ref="G114:H114" si="14">SUM(G108:G113)</f>
        <v>0</v>
      </c>
      <c r="H114" s="24">
        <f t="shared" si="14"/>
        <v>0</v>
      </c>
      <c r="I114" s="44"/>
      <c r="J114" s="44"/>
      <c r="K114" s="44"/>
    </row>
    <row r="115" hidden="1"/>
    <row r="116" s="5" customFormat="1" ht="14.25" spans="1:11">
      <c r="A116" s="5" t="s">
        <v>441</v>
      </c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8" ht="36" spans="1:9">
      <c r="A118" s="25" t="s">
        <v>389</v>
      </c>
      <c r="B118" s="27" t="s">
        <v>24</v>
      </c>
      <c r="C118" s="29"/>
      <c r="D118" s="18" t="s">
        <v>442</v>
      </c>
      <c r="E118" s="18" t="s">
        <v>443</v>
      </c>
      <c r="F118" s="18" t="s">
        <v>444</v>
      </c>
      <c r="G118" s="18" t="s">
        <v>410</v>
      </c>
      <c r="H118" s="18" t="s">
        <v>411</v>
      </c>
      <c r="I118" s="18" t="s">
        <v>412</v>
      </c>
    </row>
    <row r="119" spans="1:9">
      <c r="A119" s="19">
        <v>1</v>
      </c>
      <c r="B119" s="30">
        <v>2</v>
      </c>
      <c r="C119" s="32"/>
      <c r="D119" s="19">
        <v>3</v>
      </c>
      <c r="E119" s="19">
        <v>4</v>
      </c>
      <c r="F119" s="19">
        <v>5</v>
      </c>
      <c r="G119" s="19">
        <v>6</v>
      </c>
      <c r="H119" s="19">
        <v>7</v>
      </c>
      <c r="I119" s="19">
        <v>8</v>
      </c>
    </row>
    <row r="120" ht="29.25" customHeight="1" spans="1:9">
      <c r="A120" s="20">
        <v>1</v>
      </c>
      <c r="B120" s="54" t="s">
        <v>445</v>
      </c>
      <c r="C120" s="55"/>
      <c r="D120" s="21"/>
      <c r="E120" s="21"/>
      <c r="F120" s="21"/>
      <c r="G120" s="21">
        <f>ROUND(D120*E120*F120,2)</f>
        <v>0</v>
      </c>
      <c r="H120" s="21"/>
      <c r="I120" s="21"/>
    </row>
    <row r="121" spans="1:9">
      <c r="A121" s="20"/>
      <c r="B121" s="56" t="s">
        <v>446</v>
      </c>
      <c r="C121" s="57" t="s">
        <v>447</v>
      </c>
      <c r="D121" s="21">
        <f>618723+3730.08-65295.03</f>
        <v>557158.05</v>
      </c>
      <c r="E121" s="21">
        <v>1</v>
      </c>
      <c r="F121" s="21">
        <v>1</v>
      </c>
      <c r="G121" s="21">
        <f t="shared" ref="G121:G143" si="15">ROUND(D121*E121*F121,2)</f>
        <v>557158.05</v>
      </c>
      <c r="H121" s="21">
        <f>G121</f>
        <v>557158.05</v>
      </c>
      <c r="I121" s="21">
        <f>H121</f>
        <v>557158.05</v>
      </c>
    </row>
    <row r="122" ht="30" customHeight="1" spans="1:9">
      <c r="A122" s="20">
        <v>2</v>
      </c>
      <c r="B122" s="54" t="s">
        <v>448</v>
      </c>
      <c r="C122" s="55"/>
      <c r="D122" s="21"/>
      <c r="E122" s="21"/>
      <c r="F122" s="21"/>
      <c r="G122" s="21">
        <f t="shared" si="15"/>
        <v>0</v>
      </c>
      <c r="H122" s="21">
        <f t="shared" ref="H122:I139" si="16">G122</f>
        <v>0</v>
      </c>
      <c r="I122" s="21">
        <f t="shared" si="16"/>
        <v>0</v>
      </c>
    </row>
    <row r="123" spans="1:9">
      <c r="A123" s="20"/>
      <c r="B123" s="56" t="s">
        <v>449</v>
      </c>
      <c r="C123" s="57" t="s">
        <v>450</v>
      </c>
      <c r="D123" s="21">
        <v>19.271</v>
      </c>
      <c r="E123" s="21">
        <v>1760.99</v>
      </c>
      <c r="F123" s="21">
        <v>1</v>
      </c>
      <c r="G123" s="21">
        <f t="shared" si="15"/>
        <v>33936.04</v>
      </c>
      <c r="H123" s="21">
        <f t="shared" si="16"/>
        <v>33936.04</v>
      </c>
      <c r="I123" s="21">
        <f t="shared" si="16"/>
        <v>33936.04</v>
      </c>
    </row>
    <row r="124" spans="1:9">
      <c r="A124" s="20"/>
      <c r="B124" s="56"/>
      <c r="C124" s="57"/>
      <c r="D124" s="21">
        <v>7.125</v>
      </c>
      <c r="E124" s="21">
        <v>1821.88</v>
      </c>
      <c r="F124" s="21">
        <v>1</v>
      </c>
      <c r="G124" s="21">
        <f t="shared" si="15"/>
        <v>12980.9</v>
      </c>
      <c r="H124" s="21">
        <f t="shared" si="16"/>
        <v>12980.9</v>
      </c>
      <c r="I124" s="21">
        <f t="shared" si="16"/>
        <v>12980.9</v>
      </c>
    </row>
    <row r="125" ht="31.5" customHeight="1" spans="1:9">
      <c r="A125" s="20">
        <v>3</v>
      </c>
      <c r="B125" s="54" t="s">
        <v>448</v>
      </c>
      <c r="C125" s="55"/>
      <c r="D125" s="21"/>
      <c r="E125" s="21"/>
      <c r="F125" s="21"/>
      <c r="G125" s="21">
        <f t="shared" si="15"/>
        <v>0</v>
      </c>
      <c r="H125" s="21">
        <f t="shared" si="16"/>
        <v>0</v>
      </c>
      <c r="I125" s="21">
        <f t="shared" si="16"/>
        <v>0</v>
      </c>
    </row>
    <row r="126" spans="1:9">
      <c r="A126" s="20"/>
      <c r="B126" s="56" t="s">
        <v>452</v>
      </c>
      <c r="C126" s="57" t="s">
        <v>453</v>
      </c>
      <c r="D126" s="21">
        <v>5.55</v>
      </c>
      <c r="E126" s="21">
        <v>1760.99</v>
      </c>
      <c r="F126" s="21">
        <v>1</v>
      </c>
      <c r="G126" s="21">
        <f t="shared" si="15"/>
        <v>9773.49</v>
      </c>
      <c r="H126" s="21">
        <f t="shared" si="16"/>
        <v>9773.49</v>
      </c>
      <c r="I126" s="21">
        <f t="shared" si="16"/>
        <v>9773.49</v>
      </c>
    </row>
    <row r="127" spans="1:9">
      <c r="A127" s="20"/>
      <c r="B127" s="56"/>
      <c r="C127" s="57"/>
      <c r="D127" s="21">
        <v>2.73</v>
      </c>
      <c r="E127" s="21">
        <v>1821.88</v>
      </c>
      <c r="F127" s="21">
        <v>1</v>
      </c>
      <c r="G127" s="21">
        <f t="shared" si="15"/>
        <v>4973.73</v>
      </c>
      <c r="H127" s="21">
        <f t="shared" si="16"/>
        <v>4973.73</v>
      </c>
      <c r="I127" s="21">
        <f t="shared" si="16"/>
        <v>4973.73</v>
      </c>
    </row>
    <row r="128" spans="1:9">
      <c r="A128" s="20"/>
      <c r="B128" s="56"/>
      <c r="C128" s="57" t="s">
        <v>454</v>
      </c>
      <c r="D128" s="21">
        <v>120.12</v>
      </c>
      <c r="E128" s="21">
        <v>36</v>
      </c>
      <c r="F128" s="21">
        <v>1</v>
      </c>
      <c r="G128" s="21">
        <f t="shared" si="15"/>
        <v>4324.32</v>
      </c>
      <c r="H128" s="21">
        <f t="shared" si="16"/>
        <v>4324.32</v>
      </c>
      <c r="I128" s="21">
        <f t="shared" si="16"/>
        <v>4324.32</v>
      </c>
    </row>
    <row r="129" spans="1:9">
      <c r="A129" s="20"/>
      <c r="B129" s="56"/>
      <c r="C129" s="57"/>
      <c r="D129" s="21">
        <v>62.58</v>
      </c>
      <c r="E129" s="21">
        <v>37.44</v>
      </c>
      <c r="F129" s="21">
        <v>1</v>
      </c>
      <c r="G129" s="21">
        <f t="shared" si="15"/>
        <v>2343</v>
      </c>
      <c r="H129" s="21">
        <f t="shared" si="16"/>
        <v>2343</v>
      </c>
      <c r="I129" s="21">
        <f t="shared" si="16"/>
        <v>2343</v>
      </c>
    </row>
    <row r="130" ht="30.75" customHeight="1" spans="1:9">
      <c r="A130" s="20">
        <v>4</v>
      </c>
      <c r="B130" s="52" t="s">
        <v>455</v>
      </c>
      <c r="C130" s="53"/>
      <c r="D130" s="21"/>
      <c r="E130" s="21"/>
      <c r="F130" s="21"/>
      <c r="G130" s="21">
        <f t="shared" si="15"/>
        <v>0</v>
      </c>
      <c r="H130" s="21">
        <f t="shared" si="16"/>
        <v>0</v>
      </c>
      <c r="I130" s="21">
        <f t="shared" si="16"/>
        <v>0</v>
      </c>
    </row>
    <row r="131" spans="1:9">
      <c r="A131" s="20"/>
      <c r="B131" s="56" t="s">
        <v>452</v>
      </c>
      <c r="C131" s="57" t="s">
        <v>453</v>
      </c>
      <c r="D131" s="21">
        <v>26.108</v>
      </c>
      <c r="E131" s="21">
        <v>1760.99</v>
      </c>
      <c r="F131" s="21">
        <v>1</v>
      </c>
      <c r="G131" s="21">
        <f t="shared" si="15"/>
        <v>45975.93</v>
      </c>
      <c r="H131" s="21">
        <f t="shared" si="16"/>
        <v>45975.93</v>
      </c>
      <c r="I131" s="21">
        <f t="shared" si="16"/>
        <v>45975.93</v>
      </c>
    </row>
    <row r="132" spans="1:9">
      <c r="A132" s="20"/>
      <c r="B132" s="56"/>
      <c r="C132" s="57"/>
      <c r="D132" s="21">
        <v>19.126</v>
      </c>
      <c r="E132" s="21">
        <v>1821.88</v>
      </c>
      <c r="F132" s="21">
        <v>1</v>
      </c>
      <c r="G132" s="21">
        <f t="shared" si="15"/>
        <v>34845.28</v>
      </c>
      <c r="H132" s="21">
        <f t="shared" si="16"/>
        <v>34845.28</v>
      </c>
      <c r="I132" s="21">
        <f t="shared" si="16"/>
        <v>34845.28</v>
      </c>
    </row>
    <row r="133" spans="1:9">
      <c r="A133" s="20"/>
      <c r="B133" s="56"/>
      <c r="C133" s="57" t="s">
        <v>454</v>
      </c>
      <c r="D133" s="21">
        <v>134</v>
      </c>
      <c r="E133" s="21">
        <v>25.72</v>
      </c>
      <c r="F133" s="21">
        <v>1</v>
      </c>
      <c r="G133" s="21">
        <f t="shared" si="15"/>
        <v>3446.48</v>
      </c>
      <c r="H133" s="21">
        <f t="shared" si="16"/>
        <v>3446.48</v>
      </c>
      <c r="I133" s="21">
        <f t="shared" si="16"/>
        <v>3446.48</v>
      </c>
    </row>
    <row r="134" spans="1:9">
      <c r="A134" s="20"/>
      <c r="B134" s="56"/>
      <c r="C134" s="57"/>
      <c r="D134" s="21">
        <v>187</v>
      </c>
      <c r="E134" s="21">
        <v>26.34</v>
      </c>
      <c r="F134" s="21">
        <v>1</v>
      </c>
      <c r="G134" s="21">
        <f t="shared" si="15"/>
        <v>4925.58</v>
      </c>
      <c r="H134" s="21">
        <f t="shared" si="16"/>
        <v>4925.58</v>
      </c>
      <c r="I134" s="21">
        <f t="shared" si="16"/>
        <v>4925.58</v>
      </c>
    </row>
    <row r="135" ht="31.5" customHeight="1" spans="1:9">
      <c r="A135" s="20">
        <v>5</v>
      </c>
      <c r="B135" s="52" t="s">
        <v>456</v>
      </c>
      <c r="C135" s="53"/>
      <c r="D135" s="21"/>
      <c r="E135" s="21"/>
      <c r="F135" s="21"/>
      <c r="G135" s="21">
        <f t="shared" si="15"/>
        <v>0</v>
      </c>
      <c r="H135" s="21">
        <f t="shared" si="16"/>
        <v>0</v>
      </c>
      <c r="I135" s="21">
        <f t="shared" si="16"/>
        <v>0</v>
      </c>
    </row>
    <row r="136" spans="1:9">
      <c r="A136" s="20"/>
      <c r="B136" s="56" t="s">
        <v>457</v>
      </c>
      <c r="C136" s="57" t="s">
        <v>454</v>
      </c>
      <c r="D136" s="21">
        <v>391.5</v>
      </c>
      <c r="E136" s="21">
        <v>25.72</v>
      </c>
      <c r="F136" s="21">
        <v>1</v>
      </c>
      <c r="G136" s="21">
        <f t="shared" si="15"/>
        <v>10069.38</v>
      </c>
      <c r="H136" s="21">
        <f t="shared" si="16"/>
        <v>10069.38</v>
      </c>
      <c r="I136" s="21">
        <f t="shared" si="16"/>
        <v>10069.38</v>
      </c>
    </row>
    <row r="137" spans="1:9">
      <c r="A137" s="20"/>
      <c r="B137" s="56"/>
      <c r="C137" s="57"/>
      <c r="D137" s="21">
        <v>306.4</v>
      </c>
      <c r="E137" s="21">
        <v>26.34</v>
      </c>
      <c r="F137" s="21">
        <v>1</v>
      </c>
      <c r="G137" s="21">
        <f t="shared" si="15"/>
        <v>8070.58</v>
      </c>
      <c r="H137" s="21">
        <f t="shared" si="16"/>
        <v>8070.58</v>
      </c>
      <c r="I137" s="21">
        <f t="shared" si="16"/>
        <v>8070.58</v>
      </c>
    </row>
    <row r="138" spans="1:9">
      <c r="A138" s="20"/>
      <c r="B138" s="56" t="s">
        <v>458</v>
      </c>
      <c r="C138" s="57" t="s">
        <v>454</v>
      </c>
      <c r="D138" s="21">
        <v>560.5</v>
      </c>
      <c r="E138" s="21">
        <v>16.9</v>
      </c>
      <c r="F138" s="21">
        <v>1</v>
      </c>
      <c r="G138" s="21">
        <f t="shared" si="15"/>
        <v>9472.45</v>
      </c>
      <c r="H138" s="21">
        <f t="shared" si="16"/>
        <v>9472.45</v>
      </c>
      <c r="I138" s="21">
        <f t="shared" si="16"/>
        <v>9472.45</v>
      </c>
    </row>
    <row r="139" spans="1:9">
      <c r="A139" s="20"/>
      <c r="B139" s="56"/>
      <c r="C139" s="57"/>
      <c r="D139" s="21">
        <v>400.3</v>
      </c>
      <c r="E139" s="21">
        <v>17.32</v>
      </c>
      <c r="F139" s="21">
        <v>1</v>
      </c>
      <c r="G139" s="21">
        <f t="shared" si="15"/>
        <v>6933.2</v>
      </c>
      <c r="H139" s="21">
        <f t="shared" si="16"/>
        <v>6933.2</v>
      </c>
      <c r="I139" s="21">
        <f t="shared" si="16"/>
        <v>6933.2</v>
      </c>
    </row>
    <row r="140" ht="36" hidden="1" customHeight="1" spans="1:9">
      <c r="A140" s="20">
        <v>6</v>
      </c>
      <c r="B140" s="52" t="s">
        <v>713</v>
      </c>
      <c r="C140" s="53"/>
      <c r="D140" s="21"/>
      <c r="E140" s="21"/>
      <c r="F140" s="21"/>
      <c r="G140" s="21">
        <f t="shared" si="15"/>
        <v>0</v>
      </c>
      <c r="H140" s="21"/>
      <c r="I140" s="21"/>
    </row>
    <row r="141" hidden="1" spans="1:9">
      <c r="A141" s="20"/>
      <c r="B141" s="56" t="s">
        <v>460</v>
      </c>
      <c r="C141" s="57" t="s">
        <v>454</v>
      </c>
      <c r="D141" s="21"/>
      <c r="E141" s="21">
        <v>474.34</v>
      </c>
      <c r="F141" s="21">
        <v>1</v>
      </c>
      <c r="G141" s="21">
        <f t="shared" si="15"/>
        <v>0</v>
      </c>
      <c r="H141" s="21"/>
      <c r="I141" s="21"/>
    </row>
    <row r="142" hidden="1" spans="1:9">
      <c r="A142" s="20"/>
      <c r="B142" s="56" t="s">
        <v>714</v>
      </c>
      <c r="C142" s="57"/>
      <c r="D142" s="21"/>
      <c r="E142" s="21"/>
      <c r="F142" s="21"/>
      <c r="G142" s="21">
        <f t="shared" si="15"/>
        <v>0</v>
      </c>
      <c r="H142" s="21"/>
      <c r="I142" s="21"/>
    </row>
    <row r="143" spans="1:9">
      <c r="A143" s="20"/>
      <c r="B143" s="56"/>
      <c r="C143" s="57"/>
      <c r="D143" s="21"/>
      <c r="E143" s="21"/>
      <c r="F143" s="21"/>
      <c r="G143" s="21">
        <f t="shared" si="15"/>
        <v>0</v>
      </c>
      <c r="H143" s="21"/>
      <c r="I143" s="21"/>
    </row>
    <row r="144" s="4" customFormat="1" ht="14.25" spans="1:11">
      <c r="A144" s="23"/>
      <c r="B144" s="45" t="s">
        <v>387</v>
      </c>
      <c r="C144" s="46"/>
      <c r="D144" s="24"/>
      <c r="E144" s="24"/>
      <c r="F144" s="24"/>
      <c r="G144" s="24">
        <f>SUM(G120:G143)</f>
        <v>749228.41</v>
      </c>
      <c r="H144" s="24">
        <f t="shared" ref="H144:I144" si="17">SUM(H120:H143)</f>
        <v>749228.41</v>
      </c>
      <c r="I144" s="24">
        <f t="shared" si="17"/>
        <v>749228.41</v>
      </c>
      <c r="J144" s="44"/>
      <c r="K144" s="44"/>
    </row>
    <row r="146" s="5" customFormat="1" ht="14.25" hidden="1" spans="1:11">
      <c r="A146" s="5" t="s">
        <v>461</v>
      </c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hidden="1"/>
    <row r="148" ht="48" hidden="1" spans="1:8">
      <c r="A148" s="25" t="s">
        <v>389</v>
      </c>
      <c r="B148" s="27" t="s">
        <v>24</v>
      </c>
      <c r="C148" s="29"/>
      <c r="D148" s="18" t="s">
        <v>462</v>
      </c>
      <c r="E148" s="18" t="s">
        <v>463</v>
      </c>
      <c r="F148" s="18" t="s">
        <v>464</v>
      </c>
      <c r="G148" s="18" t="s">
        <v>464</v>
      </c>
      <c r="H148" s="18" t="s">
        <v>464</v>
      </c>
    </row>
    <row r="149" hidden="1" spans="1:8">
      <c r="A149" s="19">
        <v>1</v>
      </c>
      <c r="B149" s="30">
        <v>2</v>
      </c>
      <c r="C149" s="32"/>
      <c r="D149" s="19">
        <v>3</v>
      </c>
      <c r="E149" s="19">
        <v>4</v>
      </c>
      <c r="F149" s="19">
        <v>5</v>
      </c>
      <c r="G149" s="19">
        <v>6</v>
      </c>
      <c r="H149" s="19">
        <v>7</v>
      </c>
    </row>
    <row r="150" hidden="1" spans="1:8">
      <c r="A150" s="20"/>
      <c r="B150" s="30"/>
      <c r="C150" s="32"/>
      <c r="D150" s="21"/>
      <c r="E150" s="21"/>
      <c r="F150" s="21"/>
      <c r="G150" s="21"/>
      <c r="H150" s="21"/>
    </row>
    <row r="151" hidden="1" spans="1:8">
      <c r="A151" s="20"/>
      <c r="B151" s="30"/>
      <c r="C151" s="32"/>
      <c r="D151" s="21"/>
      <c r="E151" s="21"/>
      <c r="F151" s="21"/>
      <c r="G151" s="21"/>
      <c r="H151" s="21"/>
    </row>
    <row r="152" hidden="1" spans="1:8">
      <c r="A152" s="20"/>
      <c r="B152" s="30"/>
      <c r="C152" s="32"/>
      <c r="D152" s="21"/>
      <c r="E152" s="21"/>
      <c r="F152" s="21"/>
      <c r="G152" s="21"/>
      <c r="H152" s="21"/>
    </row>
    <row r="153" hidden="1" spans="1:8">
      <c r="A153" s="20"/>
      <c r="B153" s="30"/>
      <c r="C153" s="32"/>
      <c r="D153" s="21"/>
      <c r="E153" s="21"/>
      <c r="F153" s="21"/>
      <c r="G153" s="21"/>
      <c r="H153" s="21"/>
    </row>
    <row r="154" hidden="1" spans="1:8">
      <c r="A154" s="20"/>
      <c r="B154" s="30"/>
      <c r="C154" s="32"/>
      <c r="D154" s="21"/>
      <c r="E154" s="21"/>
      <c r="F154" s="21"/>
      <c r="G154" s="21"/>
      <c r="H154" s="21"/>
    </row>
    <row r="155" hidden="1" spans="1:8">
      <c r="A155" s="20"/>
      <c r="B155" s="30"/>
      <c r="C155" s="32"/>
      <c r="D155" s="21"/>
      <c r="E155" s="21"/>
      <c r="F155" s="21"/>
      <c r="G155" s="21"/>
      <c r="H155" s="21"/>
    </row>
    <row r="156" s="4" customFormat="1" ht="14.25" hidden="1" spans="1:11">
      <c r="A156" s="23"/>
      <c r="B156" s="45" t="s">
        <v>387</v>
      </c>
      <c r="C156" s="46"/>
      <c r="D156" s="24"/>
      <c r="E156" s="24"/>
      <c r="F156" s="24">
        <f>SUM(F150:F155)</f>
        <v>0</v>
      </c>
      <c r="G156" s="24">
        <f t="shared" ref="G156:H156" si="18">SUM(G150:G155)</f>
        <v>0</v>
      </c>
      <c r="H156" s="24">
        <f t="shared" si="18"/>
        <v>0</v>
      </c>
      <c r="I156" s="44"/>
      <c r="J156" s="44"/>
      <c r="K156" s="44"/>
    </row>
    <row r="157" hidden="1"/>
    <row r="158" s="5" customFormat="1" ht="14.25" hidden="1" spans="1:11">
      <c r="A158" s="5" t="s">
        <v>465</v>
      </c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hidden="1"/>
    <row r="160" ht="24" hidden="1" spans="1:8">
      <c r="A160" s="25" t="s">
        <v>389</v>
      </c>
      <c r="B160" s="27" t="s">
        <v>24</v>
      </c>
      <c r="C160" s="29"/>
      <c r="D160" s="18" t="s">
        <v>466</v>
      </c>
      <c r="E160" s="18" t="s">
        <v>467</v>
      </c>
      <c r="F160" s="18" t="s">
        <v>410</v>
      </c>
      <c r="G160" s="18" t="s">
        <v>411</v>
      </c>
      <c r="H160" s="18" t="s">
        <v>412</v>
      </c>
    </row>
    <row r="161" hidden="1" spans="1:8">
      <c r="A161" s="19">
        <v>1</v>
      </c>
      <c r="B161" s="30">
        <v>2</v>
      </c>
      <c r="C161" s="32"/>
      <c r="D161" s="19">
        <v>3</v>
      </c>
      <c r="E161" s="19">
        <v>4</v>
      </c>
      <c r="F161" s="19">
        <v>5</v>
      </c>
      <c r="G161" s="19">
        <v>6</v>
      </c>
      <c r="H161" s="19">
        <v>7</v>
      </c>
    </row>
    <row r="162" hidden="1" spans="1:8">
      <c r="A162" s="20">
        <v>1</v>
      </c>
      <c r="B162" s="30" t="s">
        <v>563</v>
      </c>
      <c r="C162" s="32"/>
      <c r="D162" s="21"/>
      <c r="E162" s="21">
        <v>2460</v>
      </c>
      <c r="F162" s="21">
        <f>E162*D162</f>
        <v>0</v>
      </c>
      <c r="G162" s="21"/>
      <c r="H162" s="21"/>
    </row>
    <row r="163" hidden="1" spans="1:8">
      <c r="A163" s="20"/>
      <c r="B163" s="30" t="s">
        <v>564</v>
      </c>
      <c r="C163" s="32"/>
      <c r="D163" s="21"/>
      <c r="E163" s="21"/>
      <c r="F163" s="21">
        <f t="shared" ref="F163:F179" si="19">E163*D163</f>
        <v>0</v>
      </c>
      <c r="G163" s="21"/>
      <c r="H163" s="21"/>
    </row>
    <row r="164" hidden="1" spans="1:8">
      <c r="A164" s="20"/>
      <c r="B164" s="30"/>
      <c r="C164" s="32"/>
      <c r="D164" s="21"/>
      <c r="E164" s="21"/>
      <c r="F164" s="21">
        <f t="shared" si="19"/>
        <v>0</v>
      </c>
      <c r="G164" s="21"/>
      <c r="H164" s="21"/>
    </row>
    <row r="165" hidden="1" spans="1:8">
      <c r="A165" s="20"/>
      <c r="B165" s="30"/>
      <c r="C165" s="32"/>
      <c r="D165" s="21"/>
      <c r="E165" s="21"/>
      <c r="F165" s="21">
        <f t="shared" si="19"/>
        <v>0</v>
      </c>
      <c r="G165" s="21"/>
      <c r="H165" s="21"/>
    </row>
    <row r="166" hidden="1" spans="1:8">
      <c r="A166" s="20"/>
      <c r="B166" s="30"/>
      <c r="C166" s="32"/>
      <c r="D166" s="21"/>
      <c r="E166" s="21"/>
      <c r="F166" s="21">
        <f t="shared" si="19"/>
        <v>0</v>
      </c>
      <c r="G166" s="21"/>
      <c r="H166" s="21"/>
    </row>
    <row r="167" hidden="1" spans="1:8">
      <c r="A167" s="20"/>
      <c r="B167" s="30"/>
      <c r="C167" s="32"/>
      <c r="D167" s="21"/>
      <c r="E167" s="21"/>
      <c r="F167" s="21">
        <f t="shared" si="19"/>
        <v>0</v>
      </c>
      <c r="G167" s="21"/>
      <c r="H167" s="21"/>
    </row>
    <row r="168" hidden="1" spans="1:8">
      <c r="A168" s="20"/>
      <c r="B168" s="30"/>
      <c r="C168" s="32"/>
      <c r="D168" s="21"/>
      <c r="E168" s="21"/>
      <c r="F168" s="21">
        <f t="shared" si="19"/>
        <v>0</v>
      </c>
      <c r="G168" s="21"/>
      <c r="H168" s="21"/>
    </row>
    <row r="169" hidden="1" spans="1:8">
      <c r="A169" s="20"/>
      <c r="B169" s="30"/>
      <c r="C169" s="32"/>
      <c r="D169" s="21"/>
      <c r="E169" s="21"/>
      <c r="F169" s="21">
        <f t="shared" si="19"/>
        <v>0</v>
      </c>
      <c r="G169" s="21"/>
      <c r="H169" s="21"/>
    </row>
    <row r="170" hidden="1" spans="1:8">
      <c r="A170" s="20"/>
      <c r="B170" s="30"/>
      <c r="C170" s="32"/>
      <c r="D170" s="21"/>
      <c r="E170" s="21"/>
      <c r="F170" s="21">
        <f t="shared" si="19"/>
        <v>0</v>
      </c>
      <c r="G170" s="21"/>
      <c r="H170" s="21"/>
    </row>
    <row r="171" hidden="1" spans="1:8">
      <c r="A171" s="20"/>
      <c r="B171" s="30"/>
      <c r="C171" s="32"/>
      <c r="D171" s="21"/>
      <c r="E171" s="21"/>
      <c r="F171" s="21">
        <f t="shared" si="19"/>
        <v>0</v>
      </c>
      <c r="G171" s="21"/>
      <c r="H171" s="21"/>
    </row>
    <row r="172" hidden="1" spans="1:8">
      <c r="A172" s="20"/>
      <c r="B172" s="30"/>
      <c r="C172" s="32"/>
      <c r="D172" s="21"/>
      <c r="E172" s="21"/>
      <c r="F172" s="21">
        <f t="shared" si="19"/>
        <v>0</v>
      </c>
      <c r="G172" s="21"/>
      <c r="H172" s="21"/>
    </row>
    <row r="173" hidden="1" spans="1:8">
      <c r="A173" s="20"/>
      <c r="B173" s="30"/>
      <c r="C173" s="32"/>
      <c r="D173" s="21"/>
      <c r="E173" s="21"/>
      <c r="F173" s="21">
        <f t="shared" si="19"/>
        <v>0</v>
      </c>
      <c r="G173" s="21"/>
      <c r="H173" s="21"/>
    </row>
    <row r="174" hidden="1" spans="1:8">
      <c r="A174" s="20"/>
      <c r="B174" s="30"/>
      <c r="C174" s="32"/>
      <c r="D174" s="21"/>
      <c r="E174" s="21"/>
      <c r="F174" s="21">
        <f t="shared" si="19"/>
        <v>0</v>
      </c>
      <c r="G174" s="21"/>
      <c r="H174" s="21"/>
    </row>
    <row r="175" hidden="1" spans="1:8">
      <c r="A175" s="20"/>
      <c r="B175" s="30"/>
      <c r="C175" s="32"/>
      <c r="D175" s="21"/>
      <c r="E175" s="21"/>
      <c r="F175" s="21">
        <f t="shared" si="19"/>
        <v>0</v>
      </c>
      <c r="G175" s="21"/>
      <c r="H175" s="21"/>
    </row>
    <row r="176" hidden="1" spans="1:8">
      <c r="A176" s="20"/>
      <c r="B176" s="30"/>
      <c r="C176" s="32"/>
      <c r="D176" s="21"/>
      <c r="E176" s="21"/>
      <c r="F176" s="21">
        <f t="shared" si="19"/>
        <v>0</v>
      </c>
      <c r="G176" s="21"/>
      <c r="H176" s="21"/>
    </row>
    <row r="177" hidden="1" spans="1:8">
      <c r="A177" s="20"/>
      <c r="B177" s="30"/>
      <c r="C177" s="32"/>
      <c r="D177" s="21"/>
      <c r="E177" s="21"/>
      <c r="F177" s="21">
        <f t="shared" si="19"/>
        <v>0</v>
      </c>
      <c r="G177" s="21"/>
      <c r="H177" s="21"/>
    </row>
    <row r="178" hidden="1" spans="1:8">
      <c r="A178" s="20"/>
      <c r="B178" s="30"/>
      <c r="C178" s="32"/>
      <c r="D178" s="21"/>
      <c r="E178" s="21"/>
      <c r="F178" s="21">
        <f t="shared" si="19"/>
        <v>0</v>
      </c>
      <c r="G178" s="21"/>
      <c r="H178" s="21"/>
    </row>
    <row r="179" hidden="1" spans="1:8">
      <c r="A179" s="20"/>
      <c r="B179" s="30"/>
      <c r="C179" s="32"/>
      <c r="D179" s="21"/>
      <c r="E179" s="21"/>
      <c r="F179" s="21">
        <f t="shared" si="19"/>
        <v>0</v>
      </c>
      <c r="G179" s="21"/>
      <c r="H179" s="21"/>
    </row>
    <row r="180" s="4" customFormat="1" ht="14.25" hidden="1" spans="1:11">
      <c r="A180" s="23"/>
      <c r="B180" s="45" t="s">
        <v>387</v>
      </c>
      <c r="C180" s="46"/>
      <c r="D180" s="24"/>
      <c r="E180" s="24"/>
      <c r="F180" s="24">
        <f>SUM(F162:F179)</f>
        <v>0</v>
      </c>
      <c r="G180" s="24">
        <f t="shared" ref="G180:H180" si="20">SUM(G162:G179)</f>
        <v>0</v>
      </c>
      <c r="H180" s="24">
        <f t="shared" si="20"/>
        <v>0</v>
      </c>
      <c r="I180" s="44"/>
      <c r="J180" s="44"/>
      <c r="K180" s="44"/>
    </row>
    <row r="181" ht="15.75"/>
    <row r="182" s="5" customFormat="1" ht="14.25" hidden="1" spans="1:11">
      <c r="A182" s="5" t="s">
        <v>502</v>
      </c>
      <c r="B182" s="15"/>
      <c r="C182" s="15"/>
      <c r="D182" s="15"/>
      <c r="E182" s="15"/>
      <c r="F182" s="15"/>
      <c r="G182" s="15"/>
      <c r="H182" s="15"/>
      <c r="I182" s="15"/>
      <c r="J182" s="15"/>
      <c r="K182" s="15"/>
    </row>
    <row r="183" hidden="1"/>
    <row r="184" ht="24" hidden="1" spans="1:8">
      <c r="A184" s="25" t="s">
        <v>389</v>
      </c>
      <c r="B184" s="27" t="s">
        <v>416</v>
      </c>
      <c r="C184" s="29"/>
      <c r="D184" s="18" t="s">
        <v>462</v>
      </c>
      <c r="E184" s="18" t="s">
        <v>710</v>
      </c>
      <c r="F184" s="18" t="s">
        <v>410</v>
      </c>
      <c r="G184" s="18" t="s">
        <v>411</v>
      </c>
      <c r="H184" s="18" t="s">
        <v>412</v>
      </c>
    </row>
    <row r="185" hidden="1" spans="1:8">
      <c r="A185" s="19">
        <v>1</v>
      </c>
      <c r="B185" s="30">
        <v>2</v>
      </c>
      <c r="C185" s="32"/>
      <c r="D185" s="19">
        <v>3</v>
      </c>
      <c r="E185" s="19">
        <v>4</v>
      </c>
      <c r="F185" s="19">
        <v>5</v>
      </c>
      <c r="G185" s="19">
        <v>6</v>
      </c>
      <c r="H185" s="19">
        <v>7</v>
      </c>
    </row>
    <row r="186" hidden="1" spans="1:8">
      <c r="A186" s="20">
        <v>1</v>
      </c>
      <c r="B186" s="80"/>
      <c r="C186" s="81"/>
      <c r="D186" s="82"/>
      <c r="E186" s="21"/>
      <c r="F186" s="21">
        <f>E186*D186</f>
        <v>0</v>
      </c>
      <c r="G186" s="21"/>
      <c r="H186" s="21"/>
    </row>
    <row r="187" hidden="1" spans="1:8">
      <c r="A187" s="20"/>
      <c r="B187" s="80"/>
      <c r="C187" s="81"/>
      <c r="D187" s="82"/>
      <c r="E187" s="21"/>
      <c r="F187" s="21">
        <f t="shared" ref="F187:F205" si="21">E187*D187</f>
        <v>0</v>
      </c>
      <c r="G187" s="21"/>
      <c r="H187" s="21"/>
    </row>
    <row r="188" hidden="1" spans="1:8">
      <c r="A188" s="20"/>
      <c r="B188" s="80"/>
      <c r="C188" s="81"/>
      <c r="D188" s="82"/>
      <c r="E188" s="21"/>
      <c r="F188" s="21">
        <f t="shared" si="21"/>
        <v>0</v>
      </c>
      <c r="G188" s="21"/>
      <c r="H188" s="21"/>
    </row>
    <row r="189" hidden="1" spans="1:8">
      <c r="A189" s="20"/>
      <c r="B189" s="80"/>
      <c r="C189" s="81"/>
      <c r="D189" s="83"/>
      <c r="E189" s="21"/>
      <c r="F189" s="21">
        <f t="shared" ref="F189:F193" si="22">E189*D189</f>
        <v>0</v>
      </c>
      <c r="G189" s="21"/>
      <c r="H189" s="21"/>
    </row>
    <row r="190" hidden="1" spans="1:8">
      <c r="A190" s="20"/>
      <c r="B190" s="84"/>
      <c r="C190" s="85"/>
      <c r="D190" s="83"/>
      <c r="E190" s="21"/>
      <c r="F190" s="21">
        <f t="shared" si="22"/>
        <v>0</v>
      </c>
      <c r="G190" s="21"/>
      <c r="H190" s="21"/>
    </row>
    <row r="191" hidden="1" spans="1:8">
      <c r="A191" s="20"/>
      <c r="B191" s="84"/>
      <c r="C191" s="85"/>
      <c r="D191" s="83"/>
      <c r="E191" s="21"/>
      <c r="F191" s="21">
        <f t="shared" si="22"/>
        <v>0</v>
      </c>
      <c r="G191" s="21"/>
      <c r="H191" s="21"/>
    </row>
    <row r="192" hidden="1" spans="1:8">
      <c r="A192" s="20"/>
      <c r="B192" s="84"/>
      <c r="C192" s="85"/>
      <c r="D192" s="83"/>
      <c r="E192" s="21"/>
      <c r="F192" s="21">
        <f t="shared" si="22"/>
        <v>0</v>
      </c>
      <c r="G192" s="21"/>
      <c r="H192" s="21"/>
    </row>
    <row r="193" hidden="1" spans="1:8">
      <c r="A193" s="20"/>
      <c r="B193" s="84"/>
      <c r="C193" s="85"/>
      <c r="D193" s="83"/>
      <c r="E193" s="21"/>
      <c r="F193" s="21">
        <f t="shared" si="22"/>
        <v>0</v>
      </c>
      <c r="G193" s="21"/>
      <c r="H193" s="21"/>
    </row>
    <row r="194" hidden="1" spans="1:8">
      <c r="A194" s="20"/>
      <c r="B194" s="84"/>
      <c r="C194" s="85"/>
      <c r="D194" s="83"/>
      <c r="E194" s="21"/>
      <c r="F194" s="21">
        <f>ROUND(E194*D194,0)</f>
        <v>0</v>
      </c>
      <c r="G194" s="21"/>
      <c r="H194" s="21"/>
    </row>
    <row r="195" hidden="1" spans="1:8">
      <c r="A195" s="20"/>
      <c r="B195" s="84"/>
      <c r="C195" s="85"/>
      <c r="D195" s="57"/>
      <c r="E195" s="21"/>
      <c r="F195" s="21">
        <f>ROUND(E195*D195,0)</f>
        <v>0</v>
      </c>
      <c r="G195" s="21"/>
      <c r="H195" s="21"/>
    </row>
    <row r="196" hidden="1" spans="1:8">
      <c r="A196" s="20"/>
      <c r="B196" s="30"/>
      <c r="C196" s="32"/>
      <c r="D196" s="21"/>
      <c r="E196" s="21"/>
      <c r="F196" s="21">
        <f t="shared" si="21"/>
        <v>0</v>
      </c>
      <c r="G196" s="21"/>
      <c r="H196" s="21"/>
    </row>
    <row r="197" hidden="1" spans="1:8">
      <c r="A197" s="20"/>
      <c r="B197" s="30"/>
      <c r="C197" s="32"/>
      <c r="D197" s="21"/>
      <c r="E197" s="21"/>
      <c r="F197" s="21">
        <f t="shared" si="21"/>
        <v>0</v>
      </c>
      <c r="G197" s="21"/>
      <c r="H197" s="21"/>
    </row>
    <row r="198" hidden="1" spans="1:8">
      <c r="A198" s="20"/>
      <c r="B198" s="30"/>
      <c r="C198" s="32"/>
      <c r="D198" s="21"/>
      <c r="E198" s="21"/>
      <c r="F198" s="21">
        <f t="shared" si="21"/>
        <v>0</v>
      </c>
      <c r="G198" s="21"/>
      <c r="H198" s="21"/>
    </row>
    <row r="199" hidden="1" spans="1:8">
      <c r="A199" s="20"/>
      <c r="B199" s="30"/>
      <c r="C199" s="32"/>
      <c r="D199" s="21"/>
      <c r="E199" s="21"/>
      <c r="F199" s="21">
        <f t="shared" si="21"/>
        <v>0</v>
      </c>
      <c r="G199" s="21"/>
      <c r="H199" s="21"/>
    </row>
    <row r="200" hidden="1" spans="1:8">
      <c r="A200" s="20"/>
      <c r="B200" s="30"/>
      <c r="C200" s="32"/>
      <c r="D200" s="21"/>
      <c r="E200" s="21"/>
      <c r="F200" s="21">
        <f t="shared" si="21"/>
        <v>0</v>
      </c>
      <c r="G200" s="21"/>
      <c r="H200" s="21"/>
    </row>
    <row r="201" hidden="1" spans="1:8">
      <c r="A201" s="20"/>
      <c r="B201" s="30"/>
      <c r="C201" s="32"/>
      <c r="D201" s="21"/>
      <c r="E201" s="21"/>
      <c r="F201" s="21">
        <f t="shared" si="21"/>
        <v>0</v>
      </c>
      <c r="G201" s="21"/>
      <c r="H201" s="21"/>
    </row>
    <row r="202" hidden="1" spans="1:8">
      <c r="A202" s="20"/>
      <c r="B202" s="30"/>
      <c r="C202" s="32"/>
      <c r="D202" s="21"/>
      <c r="E202" s="21"/>
      <c r="F202" s="21">
        <f t="shared" si="21"/>
        <v>0</v>
      </c>
      <c r="G202" s="21"/>
      <c r="H202" s="21"/>
    </row>
    <row r="203" hidden="1" spans="1:8">
      <c r="A203" s="20"/>
      <c r="B203" s="30"/>
      <c r="C203" s="32"/>
      <c r="D203" s="21"/>
      <c r="E203" s="21"/>
      <c r="F203" s="21">
        <f t="shared" si="21"/>
        <v>0</v>
      </c>
      <c r="G203" s="21"/>
      <c r="H203" s="21"/>
    </row>
    <row r="204" hidden="1" spans="1:8">
      <c r="A204" s="20"/>
      <c r="B204" s="30"/>
      <c r="C204" s="32"/>
      <c r="D204" s="21"/>
      <c r="E204" s="21"/>
      <c r="F204" s="21">
        <f t="shared" si="21"/>
        <v>0</v>
      </c>
      <c r="G204" s="21"/>
      <c r="H204" s="21"/>
    </row>
    <row r="205" hidden="1" spans="1:8">
      <c r="A205" s="20"/>
      <c r="B205" s="30"/>
      <c r="C205" s="32"/>
      <c r="D205" s="21"/>
      <c r="E205" s="21"/>
      <c r="F205" s="21">
        <f t="shared" si="21"/>
        <v>0</v>
      </c>
      <c r="G205" s="21"/>
      <c r="H205" s="21"/>
    </row>
    <row r="206" s="4" customFormat="1" ht="14.25" hidden="1" spans="1:11">
      <c r="A206" s="23"/>
      <c r="B206" s="45" t="s">
        <v>387</v>
      </c>
      <c r="C206" s="46"/>
      <c r="D206" s="24">
        <f>D194+D195</f>
        <v>0</v>
      </c>
      <c r="E206" s="24"/>
      <c r="F206" s="24">
        <f>SUM(F186:F205)</f>
        <v>0</v>
      </c>
      <c r="G206" s="24">
        <f t="shared" ref="G206:H206" si="23">SUM(G186:G205)</f>
        <v>0</v>
      </c>
      <c r="H206" s="24">
        <f t="shared" si="23"/>
        <v>0</v>
      </c>
      <c r="I206" s="44"/>
      <c r="J206" s="44"/>
      <c r="K206" s="44"/>
    </row>
    <row r="207" hidden="1"/>
    <row r="208" s="5" customFormat="1" ht="14.25" hidden="1" spans="1:11">
      <c r="A208" s="5" t="s">
        <v>527</v>
      </c>
      <c r="B208" s="15"/>
      <c r="C208" s="15"/>
      <c r="D208" s="15"/>
      <c r="E208" s="15"/>
      <c r="F208" s="15"/>
      <c r="G208" s="15"/>
      <c r="H208" s="15"/>
      <c r="I208" s="15"/>
      <c r="J208" s="15"/>
      <c r="K208" s="15"/>
    </row>
    <row r="209" hidden="1"/>
    <row r="210" ht="24" hidden="1" spans="1:8">
      <c r="A210" s="25" t="s">
        <v>389</v>
      </c>
      <c r="B210" s="27" t="s">
        <v>416</v>
      </c>
      <c r="C210" s="29"/>
      <c r="D210" s="18" t="s">
        <v>462</v>
      </c>
      <c r="E210" s="18" t="s">
        <v>467</v>
      </c>
      <c r="F210" s="18" t="s">
        <v>410</v>
      </c>
      <c r="G210" s="18" t="s">
        <v>411</v>
      </c>
      <c r="H210" s="18" t="s">
        <v>412</v>
      </c>
    </row>
    <row r="211" hidden="1" spans="1:8">
      <c r="A211" s="19">
        <v>1</v>
      </c>
      <c r="B211" s="30">
        <v>2</v>
      </c>
      <c r="C211" s="32"/>
      <c r="D211" s="19">
        <v>3</v>
      </c>
      <c r="E211" s="19">
        <v>4</v>
      </c>
      <c r="F211" s="19">
        <v>5</v>
      </c>
      <c r="G211" s="19">
        <v>6</v>
      </c>
      <c r="H211" s="19">
        <v>7</v>
      </c>
    </row>
    <row r="212" hidden="1" spans="1:8">
      <c r="A212" s="20">
        <v>1</v>
      </c>
      <c r="B212" s="30"/>
      <c r="C212" s="32"/>
      <c r="D212" s="21"/>
      <c r="E212" s="21"/>
      <c r="F212" s="21">
        <f>D212*E212</f>
        <v>0</v>
      </c>
      <c r="G212" s="21"/>
      <c r="H212" s="21"/>
    </row>
    <row r="213" hidden="1" spans="1:8">
      <c r="A213" s="37"/>
      <c r="B213" s="86"/>
      <c r="C213" s="87"/>
      <c r="D213" s="87"/>
      <c r="E213" s="21"/>
      <c r="F213" s="21">
        <f t="shared" ref="F213:F233" si="24">D213*E213</f>
        <v>0</v>
      </c>
      <c r="G213" s="21"/>
      <c r="H213" s="21"/>
    </row>
    <row r="214" hidden="1" spans="1:8">
      <c r="A214" s="37"/>
      <c r="B214" s="88"/>
      <c r="C214" s="87"/>
      <c r="D214" s="87"/>
      <c r="E214" s="21"/>
      <c r="F214" s="21">
        <f t="shared" si="24"/>
        <v>0</v>
      </c>
      <c r="G214" s="21"/>
      <c r="H214" s="21"/>
    </row>
    <row r="215" hidden="1" spans="1:8">
      <c r="A215" s="37"/>
      <c r="B215" s="86"/>
      <c r="C215" s="87"/>
      <c r="D215" s="87"/>
      <c r="E215" s="21"/>
      <c r="F215" s="21">
        <f t="shared" si="24"/>
        <v>0</v>
      </c>
      <c r="G215" s="21"/>
      <c r="H215" s="21"/>
    </row>
    <row r="216" hidden="1" spans="1:8">
      <c r="A216" s="37"/>
      <c r="B216" s="86"/>
      <c r="C216" s="87"/>
      <c r="D216" s="87"/>
      <c r="E216" s="21"/>
      <c r="F216" s="21">
        <f t="shared" si="24"/>
        <v>0</v>
      </c>
      <c r="G216" s="21"/>
      <c r="H216" s="21"/>
    </row>
    <row r="217" hidden="1" spans="1:8">
      <c r="A217" s="37"/>
      <c r="B217" s="86"/>
      <c r="C217" s="87"/>
      <c r="D217" s="87"/>
      <c r="E217" s="21"/>
      <c r="F217" s="21">
        <f t="shared" si="24"/>
        <v>0</v>
      </c>
      <c r="G217" s="21"/>
      <c r="H217" s="21"/>
    </row>
    <row r="218" hidden="1" spans="1:8">
      <c r="A218" s="37"/>
      <c r="B218" s="30"/>
      <c r="C218" s="32"/>
      <c r="D218" s="57"/>
      <c r="E218" s="21"/>
      <c r="F218" s="21">
        <f t="shared" si="24"/>
        <v>0</v>
      </c>
      <c r="G218" s="21"/>
      <c r="H218" s="21"/>
    </row>
    <row r="219" hidden="1" spans="1:8">
      <c r="A219" s="37"/>
      <c r="B219" s="30"/>
      <c r="C219" s="32"/>
      <c r="D219" s="21"/>
      <c r="E219" s="21"/>
      <c r="F219" s="21">
        <f t="shared" si="24"/>
        <v>0</v>
      </c>
      <c r="G219" s="21"/>
      <c r="H219" s="21"/>
    </row>
    <row r="220" hidden="1" spans="1:8">
      <c r="A220" s="37"/>
      <c r="B220" s="30"/>
      <c r="C220" s="32"/>
      <c r="D220" s="21"/>
      <c r="E220" s="21"/>
      <c r="F220" s="21">
        <f t="shared" si="24"/>
        <v>0</v>
      </c>
      <c r="G220" s="21"/>
      <c r="H220" s="21"/>
    </row>
    <row r="221" hidden="1" spans="1:8">
      <c r="A221" s="37"/>
      <c r="B221" s="30"/>
      <c r="C221" s="32"/>
      <c r="D221" s="21"/>
      <c r="E221" s="21"/>
      <c r="F221" s="21">
        <f t="shared" si="24"/>
        <v>0</v>
      </c>
      <c r="G221" s="21"/>
      <c r="H221" s="21"/>
    </row>
    <row r="222" hidden="1" spans="1:8">
      <c r="A222" s="37"/>
      <c r="B222" s="30"/>
      <c r="C222" s="32"/>
      <c r="D222" s="21"/>
      <c r="E222" s="21"/>
      <c r="F222" s="21">
        <f t="shared" si="24"/>
        <v>0</v>
      </c>
      <c r="G222" s="21"/>
      <c r="H222" s="21"/>
    </row>
    <row r="223" hidden="1" spans="1:8">
      <c r="A223" s="37"/>
      <c r="B223" s="30"/>
      <c r="C223" s="32"/>
      <c r="D223" s="21"/>
      <c r="E223" s="21"/>
      <c r="F223" s="21">
        <f t="shared" si="24"/>
        <v>0</v>
      </c>
      <c r="G223" s="21"/>
      <c r="H223" s="21"/>
    </row>
    <row r="224" hidden="1" spans="1:8">
      <c r="A224" s="37"/>
      <c r="B224" s="30"/>
      <c r="C224" s="32"/>
      <c r="D224" s="21"/>
      <c r="E224" s="21"/>
      <c r="F224" s="21">
        <f t="shared" si="24"/>
        <v>0</v>
      </c>
      <c r="G224" s="21"/>
      <c r="H224" s="21"/>
    </row>
    <row r="225" hidden="1" spans="1:8">
      <c r="A225" s="37"/>
      <c r="B225" s="30"/>
      <c r="C225" s="32"/>
      <c r="D225" s="21"/>
      <c r="E225" s="21"/>
      <c r="F225" s="21">
        <f t="shared" si="24"/>
        <v>0</v>
      </c>
      <c r="G225" s="21"/>
      <c r="H225" s="21"/>
    </row>
    <row r="226" hidden="1" spans="1:8">
      <c r="A226" s="37"/>
      <c r="B226" s="30"/>
      <c r="C226" s="32"/>
      <c r="D226" s="21"/>
      <c r="E226" s="21"/>
      <c r="F226" s="21">
        <f t="shared" si="24"/>
        <v>0</v>
      </c>
      <c r="G226" s="21"/>
      <c r="H226" s="21"/>
    </row>
    <row r="227" hidden="1" spans="1:8">
      <c r="A227" s="37"/>
      <c r="B227" s="30"/>
      <c r="C227" s="32"/>
      <c r="D227" s="21"/>
      <c r="E227" s="21"/>
      <c r="F227" s="21">
        <f t="shared" si="24"/>
        <v>0</v>
      </c>
      <c r="G227" s="21"/>
      <c r="H227" s="21"/>
    </row>
    <row r="228" hidden="1" spans="1:8">
      <c r="A228" s="37"/>
      <c r="B228" s="30"/>
      <c r="C228" s="32"/>
      <c r="D228" s="21"/>
      <c r="E228" s="21"/>
      <c r="F228" s="21">
        <f t="shared" si="24"/>
        <v>0</v>
      </c>
      <c r="G228" s="21"/>
      <c r="H228" s="21"/>
    </row>
    <row r="229" hidden="1" spans="1:8">
      <c r="A229" s="37"/>
      <c r="B229" s="30"/>
      <c r="C229" s="32"/>
      <c r="D229" s="21"/>
      <c r="E229" s="21"/>
      <c r="F229" s="21">
        <f t="shared" si="24"/>
        <v>0</v>
      </c>
      <c r="G229" s="21"/>
      <c r="H229" s="21"/>
    </row>
    <row r="230" hidden="1" spans="1:8">
      <c r="A230" s="20"/>
      <c r="B230" s="30"/>
      <c r="C230" s="32"/>
      <c r="D230" s="21"/>
      <c r="E230" s="21"/>
      <c r="F230" s="21">
        <f t="shared" si="24"/>
        <v>0</v>
      </c>
      <c r="G230" s="21"/>
      <c r="H230" s="21"/>
    </row>
    <row r="231" hidden="1" spans="1:8">
      <c r="A231" s="20"/>
      <c r="B231" s="30"/>
      <c r="C231" s="32"/>
      <c r="D231" s="21"/>
      <c r="E231" s="21"/>
      <c r="F231" s="21">
        <f t="shared" si="24"/>
        <v>0</v>
      </c>
      <c r="G231" s="21"/>
      <c r="H231" s="21"/>
    </row>
    <row r="232" hidden="1" spans="1:8">
      <c r="A232" s="20"/>
      <c r="B232" s="30"/>
      <c r="C232" s="32"/>
      <c r="D232" s="21"/>
      <c r="E232" s="21"/>
      <c r="F232" s="21">
        <f t="shared" si="24"/>
        <v>0</v>
      </c>
      <c r="G232" s="21"/>
      <c r="H232" s="21"/>
    </row>
    <row r="233" hidden="1" spans="1:8">
      <c r="A233" s="20"/>
      <c r="B233" s="30"/>
      <c r="C233" s="32"/>
      <c r="D233" s="21"/>
      <c r="E233" s="21"/>
      <c r="F233" s="21">
        <f t="shared" si="24"/>
        <v>0</v>
      </c>
      <c r="G233" s="21"/>
      <c r="H233" s="21"/>
    </row>
    <row r="234" s="4" customFormat="1" ht="14.25" hidden="1" spans="1:11">
      <c r="A234" s="23"/>
      <c r="B234" s="45" t="s">
        <v>387</v>
      </c>
      <c r="C234" s="46"/>
      <c r="D234" s="24"/>
      <c r="E234" s="24"/>
      <c r="F234" s="24">
        <f>SUM(F212:F233)</f>
        <v>0</v>
      </c>
      <c r="G234" s="24">
        <f t="shared" ref="G234:H234" si="25">SUM(G212:G233)</f>
        <v>0</v>
      </c>
      <c r="H234" s="24">
        <f t="shared" si="25"/>
        <v>0</v>
      </c>
      <c r="I234" s="44"/>
      <c r="J234" s="44"/>
      <c r="K234" s="44"/>
    </row>
    <row r="235" ht="15.75" hidden="1"/>
    <row r="236" ht="15.75" spans="1:8">
      <c r="A236" s="65"/>
      <c r="B236" s="66" t="s">
        <v>554</v>
      </c>
      <c r="C236" s="67"/>
      <c r="D236" s="67"/>
      <c r="E236" s="68"/>
      <c r="F236" s="69">
        <f>F234+F206+F180+F156+G144+F114+G102+F89+F77+F65+F53+F40+I28</f>
        <v>749228.41</v>
      </c>
      <c r="G236" s="69">
        <f>G234+G206+G180+G156+H144+G114+H102+G89+G77+G65+G53+G40+J28</f>
        <v>749228.41</v>
      </c>
      <c r="H236" s="69">
        <f>H234+H206+H180+H156+I144+H114+I102+H89+H77+H65+H53+H40+K28</f>
        <v>749228.41</v>
      </c>
    </row>
    <row r="239" s="6" customFormat="1" ht="20.25" customHeight="1" spans="1:21">
      <c r="A239" s="6" t="s">
        <v>267</v>
      </c>
      <c r="D239" s="70" t="str">
        <f>закупки!AQ30</f>
        <v>Заведующий</v>
      </c>
      <c r="E239" s="71"/>
      <c r="F239" s="70"/>
      <c r="G239" s="71"/>
      <c r="H239" s="70" t="str">
        <f>закупки!BY30</f>
        <v>Измайлова Н.В.</v>
      </c>
      <c r="I239" s="70"/>
      <c r="J239" s="71"/>
      <c r="K239" s="71"/>
      <c r="L239" s="71"/>
      <c r="M239" s="71"/>
      <c r="N239" s="71"/>
      <c r="O239" s="71"/>
      <c r="P239" s="71"/>
      <c r="Q239" s="71"/>
      <c r="R239" s="71"/>
      <c r="S239" s="71"/>
      <c r="T239" s="71"/>
      <c r="U239" s="77"/>
    </row>
    <row r="240" s="6" customFormat="1" ht="20.25" customHeight="1" spans="1:21">
      <c r="A240" s="6" t="s">
        <v>268</v>
      </c>
      <c r="D240" s="72" t="s">
        <v>555</v>
      </c>
      <c r="E240" s="73"/>
      <c r="F240" s="72" t="s">
        <v>556</v>
      </c>
      <c r="G240" s="73"/>
      <c r="H240" s="74" t="s">
        <v>557</v>
      </c>
      <c r="I240" s="74"/>
      <c r="J240" s="73"/>
      <c r="K240" s="73"/>
      <c r="L240" s="73"/>
      <c r="M240" s="73"/>
      <c r="N240" s="73"/>
      <c r="O240" s="73"/>
      <c r="P240" s="73"/>
      <c r="Q240" s="73"/>
      <c r="R240" s="73"/>
      <c r="S240" s="73"/>
      <c r="T240" s="73"/>
      <c r="U240" s="77"/>
    </row>
    <row r="241" s="6" customFormat="1" spans="1:1">
      <c r="A241" s="75"/>
    </row>
    <row r="242" s="6" customFormat="1" spans="1:8">
      <c r="A242" s="75" t="s">
        <v>271</v>
      </c>
      <c r="B242" s="75"/>
      <c r="C242" s="70" t="str">
        <f>закупки!AM33</f>
        <v>Гл.бухгалтер</v>
      </c>
      <c r="D242" s="71"/>
      <c r="E242" s="70" t="str">
        <f>закупки!BG33</f>
        <v>Родионова Н.А.</v>
      </c>
      <c r="F242" s="71"/>
      <c r="G242" s="76" t="str">
        <f>закупки!CA33</f>
        <v>31-55-99</v>
      </c>
      <c r="H242" s="70"/>
    </row>
    <row r="243" s="6" customFormat="1" spans="3:8">
      <c r="C243" s="72" t="s">
        <v>558</v>
      </c>
      <c r="D243" s="73"/>
      <c r="E243" s="74" t="s">
        <v>275</v>
      </c>
      <c r="F243" s="73"/>
      <c r="G243" s="74" t="s">
        <v>276</v>
      </c>
      <c r="H243" s="74"/>
    </row>
    <row r="244" s="6" customFormat="1"/>
    <row r="245" s="6" customFormat="1"/>
    <row r="246" s="6" customFormat="1"/>
    <row r="247" s="6" customFormat="1"/>
    <row r="248" s="6" customFormat="1" customHeight="1" spans="1:5">
      <c r="A248" s="75" t="s">
        <v>559</v>
      </c>
      <c r="B248" s="75"/>
      <c r="C248" s="75"/>
      <c r="D248" s="75"/>
      <c r="E248" s="75"/>
    </row>
  </sheetData>
  <mergeCells count="129">
    <mergeCell ref="J1:K1"/>
    <mergeCell ref="I2:K2"/>
    <mergeCell ref="A3:K3"/>
    <mergeCell ref="A6:K6"/>
    <mergeCell ref="A8:B8"/>
    <mergeCell ref="A10:C10"/>
    <mergeCell ref="D15:G15"/>
    <mergeCell ref="A42:H42"/>
    <mergeCell ref="B44:D44"/>
    <mergeCell ref="B45:D45"/>
    <mergeCell ref="B46:D46"/>
    <mergeCell ref="B47:D47"/>
    <mergeCell ref="B48:D48"/>
    <mergeCell ref="B49:D49"/>
    <mergeCell ref="B50:D50"/>
    <mergeCell ref="B51:D51"/>
    <mergeCell ref="B52:D52"/>
    <mergeCell ref="B53:D53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A79:H79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4:C94"/>
    <mergeCell ref="B95:C95"/>
    <mergeCell ref="B96:C96"/>
    <mergeCell ref="B97:C97"/>
    <mergeCell ref="B100:C100"/>
    <mergeCell ref="B101:C101"/>
    <mergeCell ref="B102:C102"/>
    <mergeCell ref="B106:C106"/>
    <mergeCell ref="B107:C107"/>
    <mergeCell ref="B108:C108"/>
    <mergeCell ref="B109:C109"/>
    <mergeCell ref="B110:C110"/>
    <mergeCell ref="B111:C111"/>
    <mergeCell ref="B112:C112"/>
    <mergeCell ref="B113:C113"/>
    <mergeCell ref="B114:C114"/>
    <mergeCell ref="B118:C118"/>
    <mergeCell ref="B119:C119"/>
    <mergeCell ref="B120:C120"/>
    <mergeCell ref="B122:C122"/>
    <mergeCell ref="B124:C124"/>
    <mergeCell ref="B125:C125"/>
    <mergeCell ref="B130:C130"/>
    <mergeCell ref="B135:C135"/>
    <mergeCell ref="B140:C140"/>
    <mergeCell ref="B143:C143"/>
    <mergeCell ref="B144:C144"/>
    <mergeCell ref="B148:C148"/>
    <mergeCell ref="B149:C149"/>
    <mergeCell ref="B150:C150"/>
    <mergeCell ref="B151:C151"/>
    <mergeCell ref="B152:C152"/>
    <mergeCell ref="B153:C153"/>
    <mergeCell ref="B154:C154"/>
    <mergeCell ref="B155:C155"/>
    <mergeCell ref="B156:C156"/>
    <mergeCell ref="B160:C160"/>
    <mergeCell ref="B161:C161"/>
    <mergeCell ref="B162:C162"/>
    <mergeCell ref="B163:C163"/>
    <mergeCell ref="B176:C176"/>
    <mergeCell ref="B177:C177"/>
    <mergeCell ref="B178:C178"/>
    <mergeCell ref="B179:C179"/>
    <mergeCell ref="B180:C180"/>
    <mergeCell ref="B184:C184"/>
    <mergeCell ref="B185:C185"/>
    <mergeCell ref="B186:C186"/>
    <mergeCell ref="B187:C187"/>
    <mergeCell ref="B188:C188"/>
    <mergeCell ref="B189:C189"/>
    <mergeCell ref="B190:C190"/>
    <mergeCell ref="B191:C191"/>
    <mergeCell ref="B192:C192"/>
    <mergeCell ref="B193:C193"/>
    <mergeCell ref="B194:C194"/>
    <mergeCell ref="B195:C195"/>
    <mergeCell ref="B203:C203"/>
    <mergeCell ref="B204:C204"/>
    <mergeCell ref="B205:C205"/>
    <mergeCell ref="B206:C206"/>
    <mergeCell ref="B210:C210"/>
    <mergeCell ref="B211:C211"/>
    <mergeCell ref="B212:C212"/>
    <mergeCell ref="B230:C230"/>
    <mergeCell ref="B231:C231"/>
    <mergeCell ref="B232:C232"/>
    <mergeCell ref="B233:C233"/>
    <mergeCell ref="B234:C234"/>
    <mergeCell ref="B236:E236"/>
    <mergeCell ref="A239:C239"/>
    <mergeCell ref="A240:C240"/>
    <mergeCell ref="A242:B242"/>
    <mergeCell ref="G243:H243"/>
    <mergeCell ref="A248:E248"/>
    <mergeCell ref="A15:A17"/>
    <mergeCell ref="B15:B17"/>
    <mergeCell ref="C15:C17"/>
    <mergeCell ref="D16:D17"/>
    <mergeCell ref="H15:H17"/>
    <mergeCell ref="I15:I17"/>
    <mergeCell ref="J15:J17"/>
    <mergeCell ref="K15:K17"/>
  </mergeCells>
  <pageMargins left="0.329375" right="0.213125" top="0.75" bottom="0.75" header="0.3" footer="0.3"/>
  <pageSetup paperSize="9" scale="62" orientation="portrait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269"/>
  <sheetViews>
    <sheetView topLeftCell="A149" workbookViewId="0">
      <selection activeCell="B157" sqref="B157:C157"/>
    </sheetView>
  </sheetViews>
  <sheetFormatPr defaultColWidth="9.14285714285714" defaultRowHeight="15"/>
  <cols>
    <col min="1" max="1" width="8.85714285714286" style="7" customWidth="1"/>
    <col min="2" max="2" width="17.7142857142857" style="8" customWidth="1"/>
    <col min="3" max="3" width="14.2857142857143" style="8" customWidth="1"/>
    <col min="4" max="11" width="14" style="8" customWidth="1"/>
    <col min="12" max="12" width="17.7142857142857" style="7" customWidth="1"/>
    <col min="13" max="16384" width="9.14285714285714" style="7"/>
  </cols>
  <sheetData>
    <row r="1" hidden="1" spans="9:11">
      <c r="I1" s="6"/>
      <c r="J1" s="40" t="s">
        <v>362</v>
      </c>
      <c r="K1" s="40"/>
    </row>
    <row r="2" hidden="1" spans="9:11">
      <c r="I2" s="41" t="s">
        <v>285</v>
      </c>
      <c r="J2" s="41"/>
      <c r="K2" s="41"/>
    </row>
    <row r="3" ht="15.75" spans="1:11">
      <c r="A3" s="9" t="s">
        <v>363</v>
      </c>
      <c r="B3" s="9"/>
      <c r="C3" s="9"/>
      <c r="D3" s="9"/>
      <c r="E3" s="9"/>
      <c r="F3" s="9"/>
      <c r="G3" s="9"/>
      <c r="H3" s="9"/>
      <c r="I3" s="9"/>
      <c r="J3" s="9"/>
      <c r="K3" s="9"/>
    </row>
    <row r="6" spans="1:11">
      <c r="A6" s="10" t="s">
        <v>364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8" spans="1:3">
      <c r="A8" s="11" t="s">
        <v>365</v>
      </c>
      <c r="B8" s="11"/>
      <c r="C8" s="12" t="s">
        <v>180</v>
      </c>
    </row>
    <row r="10" spans="1:4">
      <c r="A10" s="11" t="s">
        <v>366</v>
      </c>
      <c r="B10" s="11"/>
      <c r="C10" s="11"/>
      <c r="D10" s="13" t="s">
        <v>715</v>
      </c>
    </row>
    <row r="11" spans="1:3">
      <c r="A11" s="11"/>
      <c r="B11" s="11"/>
      <c r="C11" s="11"/>
    </row>
    <row r="12" spans="1:4">
      <c r="A12" s="14" t="s">
        <v>368</v>
      </c>
      <c r="B12" s="15"/>
      <c r="C12" s="15"/>
      <c r="D12" s="15"/>
    </row>
    <row r="13" spans="1:4">
      <c r="A13" s="14" t="s">
        <v>369</v>
      </c>
      <c r="B13" s="15"/>
      <c r="C13" s="15"/>
      <c r="D13" s="15"/>
    </row>
    <row r="15" s="1" customFormat="1" ht="12" spans="1:11">
      <c r="A15" s="16"/>
      <c r="B15" s="17" t="s">
        <v>370</v>
      </c>
      <c r="C15" s="17" t="s">
        <v>371</v>
      </c>
      <c r="D15" s="17" t="s">
        <v>372</v>
      </c>
      <c r="E15" s="17"/>
      <c r="F15" s="17"/>
      <c r="G15" s="17"/>
      <c r="H15" s="17" t="s">
        <v>373</v>
      </c>
      <c r="I15" s="17" t="s">
        <v>374</v>
      </c>
      <c r="J15" s="17" t="s">
        <v>375</v>
      </c>
      <c r="K15" s="17" t="s">
        <v>376</v>
      </c>
    </row>
    <row r="16" s="1" customFormat="1" ht="12" spans="1:11">
      <c r="A16" s="16"/>
      <c r="B16" s="17"/>
      <c r="C16" s="17"/>
      <c r="D16" s="16" t="s">
        <v>377</v>
      </c>
      <c r="E16" s="16" t="s">
        <v>54</v>
      </c>
      <c r="F16" s="16"/>
      <c r="G16" s="16"/>
      <c r="H16" s="17"/>
      <c r="I16" s="17"/>
      <c r="J16" s="17"/>
      <c r="K16" s="17"/>
    </row>
    <row r="17" s="2" customFormat="1" ht="36" spans="1:11">
      <c r="A17" s="16"/>
      <c r="B17" s="17"/>
      <c r="C17" s="17"/>
      <c r="D17" s="16"/>
      <c r="E17" s="18" t="s">
        <v>378</v>
      </c>
      <c r="F17" s="18" t="s">
        <v>379</v>
      </c>
      <c r="G17" s="18" t="s">
        <v>380</v>
      </c>
      <c r="H17" s="17"/>
      <c r="I17" s="17"/>
      <c r="J17" s="17"/>
      <c r="K17" s="17"/>
    </row>
    <row r="18" s="3" customFormat="1" spans="1:11">
      <c r="A18" s="19">
        <v>1</v>
      </c>
      <c r="B18" s="19">
        <v>2</v>
      </c>
      <c r="C18" s="19">
        <v>3</v>
      </c>
      <c r="D18" s="19">
        <v>4</v>
      </c>
      <c r="E18" s="19">
        <v>5</v>
      </c>
      <c r="F18" s="19">
        <v>6</v>
      </c>
      <c r="G18" s="19">
        <v>7</v>
      </c>
      <c r="H18" s="19">
        <v>8</v>
      </c>
      <c r="I18" s="19">
        <v>9</v>
      </c>
      <c r="J18" s="19">
        <v>10</v>
      </c>
      <c r="K18" s="19">
        <v>11</v>
      </c>
    </row>
    <row r="19" s="3" customFormat="1" spans="1:11">
      <c r="A19" s="19"/>
      <c r="B19" s="19" t="s">
        <v>381</v>
      </c>
      <c r="C19" s="19"/>
      <c r="D19" s="19"/>
      <c r="E19" s="19"/>
      <c r="F19" s="19"/>
      <c r="G19" s="19"/>
      <c r="H19" s="19"/>
      <c r="I19" s="19"/>
      <c r="J19" s="19"/>
      <c r="K19" s="19"/>
    </row>
    <row r="20" ht="24" spans="1:11">
      <c r="A20" s="20">
        <v>1</v>
      </c>
      <c r="B20" s="18" t="s">
        <v>382</v>
      </c>
      <c r="C20" s="21"/>
      <c r="D20" s="21">
        <f>E20+F20+G20</f>
        <v>0</v>
      </c>
      <c r="E20" s="21"/>
      <c r="F20" s="21"/>
      <c r="G20" s="21"/>
      <c r="H20" s="21"/>
      <c r="I20" s="21">
        <f>(C20*D20+H20)*9</f>
        <v>0</v>
      </c>
      <c r="J20" s="21"/>
      <c r="K20" s="21"/>
    </row>
    <row r="21" spans="1:11">
      <c r="A21" s="20">
        <v>2</v>
      </c>
      <c r="B21" s="18" t="s">
        <v>383</v>
      </c>
      <c r="C21" s="21">
        <v>5.8</v>
      </c>
      <c r="D21" s="21">
        <f t="shared" ref="D21:D29" si="0">E21+F21+G21</f>
        <v>23766.3</v>
      </c>
      <c r="E21" s="21">
        <v>10487.74</v>
      </c>
      <c r="F21" s="21"/>
      <c r="G21" s="21">
        <v>13278.56</v>
      </c>
      <c r="H21" s="21"/>
      <c r="I21" s="21">
        <f>(C21*D21+H21)*9+0.05</f>
        <v>1240600.91</v>
      </c>
      <c r="J21" s="21">
        <f>I21</f>
        <v>1240600.91</v>
      </c>
      <c r="K21" s="21">
        <f>J21</f>
        <v>1240600.91</v>
      </c>
    </row>
    <row r="22" spans="1:11">
      <c r="A22" s="20">
        <v>3</v>
      </c>
      <c r="B22" s="18" t="s">
        <v>384</v>
      </c>
      <c r="C22" s="21">
        <v>2.63</v>
      </c>
      <c r="D22" s="21">
        <f t="shared" si="0"/>
        <v>11807</v>
      </c>
      <c r="E22" s="21">
        <v>11807</v>
      </c>
      <c r="F22" s="21"/>
      <c r="G22" s="21"/>
      <c r="H22" s="21"/>
      <c r="I22" s="21">
        <f t="shared" ref="I22" si="1">(C22*D22+H22)*9</f>
        <v>279471.69</v>
      </c>
      <c r="J22" s="36">
        <f>I22</f>
        <v>279471.69</v>
      </c>
      <c r="K22" s="36">
        <f>J22</f>
        <v>279471.69</v>
      </c>
    </row>
    <row r="23" hidden="1" spans="1:11">
      <c r="A23" s="19"/>
      <c r="B23" s="19"/>
      <c r="C23" s="19"/>
      <c r="D23" s="21">
        <f t="shared" si="0"/>
        <v>0</v>
      </c>
      <c r="E23" s="21"/>
      <c r="F23" s="21"/>
      <c r="G23" s="21"/>
      <c r="H23" s="21"/>
      <c r="I23" s="36">
        <f t="shared" ref="I23:I29" si="2">C23*D23+H23</f>
        <v>0</v>
      </c>
      <c r="J23" s="36"/>
      <c r="K23" s="36"/>
    </row>
    <row r="24" s="3" customFormat="1" hidden="1" spans="1:11">
      <c r="A24" s="19"/>
      <c r="B24" s="19" t="s">
        <v>385</v>
      </c>
      <c r="C24" s="19"/>
      <c r="D24" s="19"/>
      <c r="E24" s="19"/>
      <c r="F24" s="19"/>
      <c r="G24" s="19"/>
      <c r="H24" s="19"/>
      <c r="I24" s="19"/>
      <c r="J24" s="19"/>
      <c r="K24" s="19"/>
    </row>
    <row r="25" ht="24" hidden="1" spans="1:11">
      <c r="A25" s="20">
        <v>1</v>
      </c>
      <c r="B25" s="18" t="s">
        <v>382</v>
      </c>
      <c r="C25" s="21"/>
      <c r="D25" s="21">
        <f>E25+F25+G25</f>
        <v>0</v>
      </c>
      <c r="E25" s="21"/>
      <c r="F25" s="21"/>
      <c r="G25" s="21"/>
      <c r="H25" s="21"/>
      <c r="I25" s="21">
        <f>C25*D25+H25</f>
        <v>0</v>
      </c>
      <c r="J25" s="21"/>
      <c r="K25" s="21"/>
    </row>
    <row r="26" hidden="1" spans="1:11">
      <c r="A26" s="20">
        <v>2</v>
      </c>
      <c r="B26" s="18" t="s">
        <v>383</v>
      </c>
      <c r="C26" s="21"/>
      <c r="D26" s="21">
        <f t="shared" ref="D26:D27" si="3">E26+F26+G26</f>
        <v>0</v>
      </c>
      <c r="E26" s="21"/>
      <c r="F26" s="21"/>
      <c r="G26" s="21"/>
      <c r="H26" s="21"/>
      <c r="I26" s="21">
        <f t="shared" ref="I26" si="4">C26*D26+H26</f>
        <v>0</v>
      </c>
      <c r="J26" s="21"/>
      <c r="K26" s="21"/>
    </row>
    <row r="27" hidden="1" spans="1:11">
      <c r="A27" s="20">
        <v>3</v>
      </c>
      <c r="B27" s="18" t="s">
        <v>384</v>
      </c>
      <c r="C27" s="21"/>
      <c r="D27" s="21">
        <f t="shared" si="3"/>
        <v>0</v>
      </c>
      <c r="E27" s="21"/>
      <c r="F27" s="21"/>
      <c r="G27" s="21"/>
      <c r="H27" s="21"/>
      <c r="I27" s="36">
        <f>ROUND((C27*D27+H27)*3,0)</f>
        <v>0</v>
      </c>
      <c r="J27" s="36"/>
      <c r="K27" s="42"/>
    </row>
    <row r="28" hidden="1" spans="1:11">
      <c r="A28" s="20"/>
      <c r="B28" s="22"/>
      <c r="C28" s="21"/>
      <c r="D28" s="21">
        <f t="shared" si="0"/>
        <v>0</v>
      </c>
      <c r="E28" s="21"/>
      <c r="F28" s="21"/>
      <c r="G28" s="21"/>
      <c r="H28" s="21"/>
      <c r="I28" s="36">
        <f t="shared" si="2"/>
        <v>0</v>
      </c>
      <c r="J28" s="36"/>
      <c r="K28" s="36"/>
    </row>
    <row r="29" spans="1:11">
      <c r="A29" s="20"/>
      <c r="B29" s="22"/>
      <c r="C29" s="21"/>
      <c r="D29" s="21">
        <f t="shared" si="0"/>
        <v>0</v>
      </c>
      <c r="E29" s="21"/>
      <c r="F29" s="21"/>
      <c r="G29" s="21"/>
      <c r="H29" s="21"/>
      <c r="I29" s="36">
        <f t="shared" si="2"/>
        <v>0</v>
      </c>
      <c r="J29" s="36"/>
      <c r="K29" s="36"/>
    </row>
    <row r="30" s="4" customFormat="1" ht="14.25" spans="1:11">
      <c r="A30" s="23" t="s">
        <v>387</v>
      </c>
      <c r="B30" s="24"/>
      <c r="C30" s="24"/>
      <c r="D30" s="24"/>
      <c r="E30" s="24"/>
      <c r="F30" s="24"/>
      <c r="G30" s="24"/>
      <c r="H30" s="24"/>
      <c r="I30" s="39">
        <f>SUM(I20:I29)</f>
        <v>1520072.6</v>
      </c>
      <c r="J30" s="39">
        <f t="shared" ref="J30:K30" si="5">SUM(J20:J29)</f>
        <v>1520072.6</v>
      </c>
      <c r="K30" s="39">
        <f t="shared" si="5"/>
        <v>1520072.6</v>
      </c>
    </row>
    <row r="32" s="5" customFormat="1" ht="14.25" hidden="1" spans="1:11">
      <c r="A32" s="5" t="s">
        <v>388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</row>
    <row r="33" hidden="1"/>
    <row r="34" s="1" customFormat="1" ht="48" hidden="1" spans="1:11">
      <c r="A34" s="25" t="s">
        <v>389</v>
      </c>
      <c r="B34" s="18" t="s">
        <v>390</v>
      </c>
      <c r="C34" s="18" t="s">
        <v>391</v>
      </c>
      <c r="D34" s="18" t="s">
        <v>392</v>
      </c>
      <c r="E34" s="18" t="s">
        <v>393</v>
      </c>
      <c r="F34" s="18" t="s">
        <v>394</v>
      </c>
      <c r="G34" s="18" t="s">
        <v>394</v>
      </c>
      <c r="H34" s="18" t="s">
        <v>394</v>
      </c>
      <c r="I34" s="43"/>
      <c r="J34" s="43"/>
      <c r="K34" s="43"/>
    </row>
    <row r="35" s="3" customFormat="1" hidden="1" spans="1:8">
      <c r="A35" s="19">
        <v>1</v>
      </c>
      <c r="B35" s="19">
        <v>2</v>
      </c>
      <c r="C35" s="19">
        <v>3</v>
      </c>
      <c r="D35" s="19">
        <v>4</v>
      </c>
      <c r="E35" s="19">
        <v>5</v>
      </c>
      <c r="F35" s="19">
        <v>6</v>
      </c>
      <c r="G35" s="19">
        <v>7</v>
      </c>
      <c r="H35" s="19">
        <v>8</v>
      </c>
    </row>
    <row r="36" hidden="1" spans="1:8">
      <c r="A36" s="20"/>
      <c r="B36" s="21"/>
      <c r="C36" s="21"/>
      <c r="D36" s="21"/>
      <c r="E36" s="21"/>
      <c r="F36" s="21"/>
      <c r="G36" s="21"/>
      <c r="H36" s="21"/>
    </row>
    <row r="37" hidden="1" spans="1:8">
      <c r="A37" s="20"/>
      <c r="B37" s="21"/>
      <c r="C37" s="21"/>
      <c r="D37" s="21"/>
      <c r="E37" s="21"/>
      <c r="F37" s="21"/>
      <c r="G37" s="21"/>
      <c r="H37" s="21"/>
    </row>
    <row r="38" hidden="1" spans="1:8">
      <c r="A38" s="20"/>
      <c r="B38" s="21"/>
      <c r="C38" s="21"/>
      <c r="D38" s="21"/>
      <c r="E38" s="21"/>
      <c r="F38" s="21"/>
      <c r="G38" s="21"/>
      <c r="H38" s="21"/>
    </row>
    <row r="39" hidden="1" spans="1:8">
      <c r="A39" s="20"/>
      <c r="B39" s="21"/>
      <c r="C39" s="21"/>
      <c r="D39" s="21"/>
      <c r="E39" s="21"/>
      <c r="F39" s="21"/>
      <c r="G39" s="21"/>
      <c r="H39" s="21"/>
    </row>
    <row r="40" hidden="1" spans="1:8">
      <c r="A40" s="20"/>
      <c r="B40" s="21"/>
      <c r="C40" s="21"/>
      <c r="D40" s="21"/>
      <c r="E40" s="21"/>
      <c r="F40" s="21"/>
      <c r="G40" s="21"/>
      <c r="H40" s="21"/>
    </row>
    <row r="41" hidden="1" spans="1:8">
      <c r="A41" s="20"/>
      <c r="B41" s="21"/>
      <c r="C41" s="21"/>
      <c r="D41" s="21"/>
      <c r="E41" s="21"/>
      <c r="F41" s="21"/>
      <c r="G41" s="21"/>
      <c r="H41" s="21"/>
    </row>
    <row r="42" hidden="1" spans="1:8">
      <c r="A42" s="20"/>
      <c r="B42" s="21"/>
      <c r="C42" s="21"/>
      <c r="D42" s="21"/>
      <c r="E42" s="21"/>
      <c r="F42" s="21"/>
      <c r="G42" s="21"/>
      <c r="H42" s="21"/>
    </row>
    <row r="43" hidden="1"/>
    <row r="44" spans="1:8">
      <c r="A44" s="26" t="s">
        <v>395</v>
      </c>
      <c r="B44" s="26"/>
      <c r="C44" s="26"/>
      <c r="D44" s="26"/>
      <c r="E44" s="26"/>
      <c r="F44" s="26"/>
      <c r="G44" s="26"/>
      <c r="H44" s="26"/>
    </row>
    <row r="46" ht="48" spans="1:8">
      <c r="A46" s="25" t="s">
        <v>389</v>
      </c>
      <c r="B46" s="27" t="s">
        <v>396</v>
      </c>
      <c r="C46" s="28"/>
      <c r="D46" s="29"/>
      <c r="E46" s="18" t="s">
        <v>397</v>
      </c>
      <c r="F46" s="18" t="s">
        <v>398</v>
      </c>
      <c r="G46" s="18" t="s">
        <v>399</v>
      </c>
      <c r="H46" s="18" t="s">
        <v>400</v>
      </c>
    </row>
    <row r="47" spans="1:8">
      <c r="A47" s="19">
        <v>1</v>
      </c>
      <c r="B47" s="30">
        <v>2</v>
      </c>
      <c r="C47" s="31"/>
      <c r="D47" s="32"/>
      <c r="E47" s="19">
        <v>3</v>
      </c>
      <c r="F47" s="19">
        <v>4</v>
      </c>
      <c r="G47" s="19">
        <v>5</v>
      </c>
      <c r="H47" s="19">
        <v>6</v>
      </c>
    </row>
    <row r="48" ht="23.25" customHeight="1" spans="1:8">
      <c r="A48" s="20">
        <v>1</v>
      </c>
      <c r="B48" s="33" t="s">
        <v>401</v>
      </c>
      <c r="C48" s="34"/>
      <c r="D48" s="35"/>
      <c r="E48" s="36"/>
      <c r="F48" s="36">
        <f>F50</f>
        <v>334415.97</v>
      </c>
      <c r="G48" s="36">
        <f>G50</f>
        <v>334415.97</v>
      </c>
      <c r="H48" s="36">
        <f t="shared" ref="H48" si="6">H50</f>
        <v>334415.97</v>
      </c>
    </row>
    <row r="49" ht="17.25" customHeight="1" spans="1:8">
      <c r="A49" s="20"/>
      <c r="B49" s="33" t="s">
        <v>54</v>
      </c>
      <c r="C49" s="34"/>
      <c r="D49" s="35"/>
      <c r="E49" s="36"/>
      <c r="F49" s="36"/>
      <c r="G49" s="36"/>
      <c r="H49" s="36"/>
    </row>
    <row r="50" ht="17.25" customHeight="1" spans="1:8">
      <c r="A50" s="37"/>
      <c r="B50" s="33" t="s">
        <v>402</v>
      </c>
      <c r="C50" s="34"/>
      <c r="D50" s="35"/>
      <c r="E50" s="36">
        <f>I30</f>
        <v>1520072.6</v>
      </c>
      <c r="F50" s="36">
        <f>ROUND(E50*0.22,2)</f>
        <v>334415.97</v>
      </c>
      <c r="G50" s="36">
        <f>ROUND(J30*0.22,2)</f>
        <v>334415.97</v>
      </c>
      <c r="H50" s="36">
        <f>ROUND(K30*0.22,2)</f>
        <v>334415.97</v>
      </c>
    </row>
    <row r="51" ht="23.25" customHeight="1" spans="1:8">
      <c r="A51" s="20">
        <v>2</v>
      </c>
      <c r="B51" s="33" t="s">
        <v>403</v>
      </c>
      <c r="C51" s="34"/>
      <c r="D51" s="35"/>
      <c r="E51" s="36"/>
      <c r="F51" s="36">
        <f>F52+F53</f>
        <v>47122.26</v>
      </c>
      <c r="G51" s="36">
        <f t="shared" ref="G51:H51" si="7">G52+G53</f>
        <v>47122.26</v>
      </c>
      <c r="H51" s="36">
        <f t="shared" si="7"/>
        <v>47122.26</v>
      </c>
    </row>
    <row r="52" ht="24" customHeight="1" spans="1:8">
      <c r="A52" s="20"/>
      <c r="B52" s="33" t="s">
        <v>404</v>
      </c>
      <c r="C52" s="34"/>
      <c r="D52" s="35"/>
      <c r="E52" s="36">
        <f>E50</f>
        <v>1520072.6</v>
      </c>
      <c r="F52" s="36">
        <f>ROUND(E52*0.029,2)</f>
        <v>44082.11</v>
      </c>
      <c r="G52" s="36">
        <f>ROUND(J30*0.029,2)</f>
        <v>44082.11</v>
      </c>
      <c r="H52" s="36">
        <f>ROUND(K30*0.029,2)</f>
        <v>44082.11</v>
      </c>
    </row>
    <row r="53" ht="24.75" customHeight="1" spans="1:8">
      <c r="A53" s="20"/>
      <c r="B53" s="33" t="s">
        <v>405</v>
      </c>
      <c r="C53" s="34"/>
      <c r="D53" s="35"/>
      <c r="E53" s="36">
        <f>E52</f>
        <v>1520072.6</v>
      </c>
      <c r="F53" s="36">
        <f>ROUND(E53*0.002,2)</f>
        <v>3040.15</v>
      </c>
      <c r="G53" s="36">
        <f>ROUND(J30*0.002,2)</f>
        <v>3040.15</v>
      </c>
      <c r="H53" s="36">
        <f>ROUND(K30*0.002,2)</f>
        <v>3040.15</v>
      </c>
    </row>
    <row r="54" ht="24.75" customHeight="1" spans="1:8">
      <c r="A54" s="20">
        <v>3</v>
      </c>
      <c r="B54" s="33" t="s">
        <v>406</v>
      </c>
      <c r="C54" s="34"/>
      <c r="D54" s="35"/>
      <c r="E54" s="36">
        <f>E53</f>
        <v>1520072.6</v>
      </c>
      <c r="F54" s="36">
        <f>ROUND(E54*0.051,2)</f>
        <v>77523.7</v>
      </c>
      <c r="G54" s="36">
        <f>ROUND(J30*0.051,2)</f>
        <v>77523.7</v>
      </c>
      <c r="H54" s="36">
        <f>ROUND(K30*0.051,2)</f>
        <v>77523.7</v>
      </c>
    </row>
    <row r="55" s="4" customFormat="1" ht="14.25" spans="1:11">
      <c r="A55" s="23"/>
      <c r="B55" s="38" t="s">
        <v>387</v>
      </c>
      <c r="C55" s="38"/>
      <c r="D55" s="38"/>
      <c r="E55" s="39"/>
      <c r="F55" s="39">
        <f>F48+F51+F54</f>
        <v>459061.93</v>
      </c>
      <c r="G55" s="39">
        <f t="shared" ref="G55:H55" si="8">G48+G51+G54</f>
        <v>459061.93</v>
      </c>
      <c r="H55" s="39">
        <f t="shared" si="8"/>
        <v>459061.93</v>
      </c>
      <c r="I55" s="44"/>
      <c r="J55" s="44"/>
      <c r="K55" s="44"/>
    </row>
    <row r="57" s="5" customFormat="1" ht="14.25" hidden="1" spans="1:11">
      <c r="A57" s="5" t="s">
        <v>407</v>
      </c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hidden="1"/>
    <row r="59" ht="24" hidden="1" spans="1:8">
      <c r="A59" s="25" t="s">
        <v>389</v>
      </c>
      <c r="B59" s="27" t="s">
        <v>24</v>
      </c>
      <c r="C59" s="29"/>
      <c r="D59" s="18" t="s">
        <v>408</v>
      </c>
      <c r="E59" s="18" t="s">
        <v>409</v>
      </c>
      <c r="F59" s="18" t="s">
        <v>410</v>
      </c>
      <c r="G59" s="18" t="s">
        <v>411</v>
      </c>
      <c r="H59" s="18" t="s">
        <v>412</v>
      </c>
    </row>
    <row r="60" hidden="1" spans="1:8">
      <c r="A60" s="19">
        <v>1</v>
      </c>
      <c r="B60" s="30">
        <v>2</v>
      </c>
      <c r="C60" s="32"/>
      <c r="D60" s="19">
        <v>3</v>
      </c>
      <c r="E60" s="19">
        <v>4</v>
      </c>
      <c r="F60" s="19">
        <v>5</v>
      </c>
      <c r="G60" s="19">
        <v>6</v>
      </c>
      <c r="H60" s="19">
        <v>7</v>
      </c>
    </row>
    <row r="61" hidden="1" spans="1:8">
      <c r="A61" s="20">
        <v>1</v>
      </c>
      <c r="B61" s="30" t="s">
        <v>413</v>
      </c>
      <c r="C61" s="32"/>
      <c r="D61" s="21"/>
      <c r="E61" s="21"/>
      <c r="F61" s="36">
        <f>D61*E61</f>
        <v>0</v>
      </c>
      <c r="G61" s="36"/>
      <c r="H61" s="36"/>
    </row>
    <row r="62" hidden="1" spans="1:8">
      <c r="A62" s="20">
        <v>2</v>
      </c>
      <c r="B62" s="30" t="s">
        <v>414</v>
      </c>
      <c r="C62" s="32"/>
      <c r="D62" s="21"/>
      <c r="E62" s="21"/>
      <c r="F62" s="36">
        <f t="shared" ref="F62:F66" si="9">D62*E62</f>
        <v>0</v>
      </c>
      <c r="G62" s="36"/>
      <c r="H62" s="36"/>
    </row>
    <row r="63" hidden="1" spans="1:8">
      <c r="A63" s="20"/>
      <c r="B63" s="30"/>
      <c r="C63" s="32"/>
      <c r="D63" s="21"/>
      <c r="E63" s="21"/>
      <c r="F63" s="36">
        <f t="shared" si="9"/>
        <v>0</v>
      </c>
      <c r="G63" s="36"/>
      <c r="H63" s="36"/>
    </row>
    <row r="64" hidden="1" spans="1:8">
      <c r="A64" s="20"/>
      <c r="B64" s="30"/>
      <c r="C64" s="32"/>
      <c r="D64" s="21"/>
      <c r="E64" s="21"/>
      <c r="F64" s="36">
        <f t="shared" si="9"/>
        <v>0</v>
      </c>
      <c r="G64" s="36"/>
      <c r="H64" s="36"/>
    </row>
    <row r="65" hidden="1" spans="1:8">
      <c r="A65" s="20"/>
      <c r="B65" s="30"/>
      <c r="C65" s="32"/>
      <c r="D65" s="21"/>
      <c r="E65" s="21"/>
      <c r="F65" s="36">
        <f t="shared" si="9"/>
        <v>0</v>
      </c>
      <c r="G65" s="36"/>
      <c r="H65" s="36"/>
    </row>
    <row r="66" hidden="1" spans="1:8">
      <c r="A66" s="20"/>
      <c r="B66" s="30"/>
      <c r="C66" s="32"/>
      <c r="D66" s="21"/>
      <c r="E66" s="21"/>
      <c r="F66" s="36">
        <f t="shared" si="9"/>
        <v>0</v>
      </c>
      <c r="G66" s="36"/>
      <c r="H66" s="36"/>
    </row>
    <row r="67" s="4" customFormat="1" ht="14.25" hidden="1" spans="1:11">
      <c r="A67" s="23"/>
      <c r="B67" s="45" t="s">
        <v>387</v>
      </c>
      <c r="C67" s="46"/>
      <c r="D67" s="24"/>
      <c r="E67" s="24"/>
      <c r="F67" s="39">
        <f>SUM(F61:F66)</f>
        <v>0</v>
      </c>
      <c r="G67" s="39">
        <f t="shared" ref="G67:H67" si="10">SUM(G61:G66)</f>
        <v>0</v>
      </c>
      <c r="H67" s="39">
        <f t="shared" si="10"/>
        <v>0</v>
      </c>
      <c r="I67" s="44"/>
      <c r="J67" s="44"/>
      <c r="K67" s="44"/>
    </row>
    <row r="68" hidden="1"/>
    <row r="69" s="5" customFormat="1" ht="14.25" hidden="1" spans="1:11">
      <c r="A69" s="5" t="s">
        <v>415</v>
      </c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hidden="1"/>
    <row r="71" ht="72" hidden="1" spans="1:8">
      <c r="A71" s="25" t="s">
        <v>389</v>
      </c>
      <c r="B71" s="27" t="s">
        <v>416</v>
      </c>
      <c r="C71" s="29"/>
      <c r="D71" s="18" t="s">
        <v>417</v>
      </c>
      <c r="E71" s="18" t="s">
        <v>418</v>
      </c>
      <c r="F71" s="18" t="s">
        <v>419</v>
      </c>
      <c r="G71" s="18" t="s">
        <v>420</v>
      </c>
      <c r="H71" s="18" t="s">
        <v>421</v>
      </c>
    </row>
    <row r="72" hidden="1" spans="1:8">
      <c r="A72" s="19">
        <v>1</v>
      </c>
      <c r="B72" s="30">
        <v>2</v>
      </c>
      <c r="C72" s="32"/>
      <c r="D72" s="19">
        <v>3</v>
      </c>
      <c r="E72" s="19">
        <v>4</v>
      </c>
      <c r="F72" s="19">
        <v>5</v>
      </c>
      <c r="G72" s="19">
        <v>6</v>
      </c>
      <c r="H72" s="19">
        <v>7</v>
      </c>
    </row>
    <row r="73" hidden="1" spans="1:8">
      <c r="A73" s="20">
        <v>1</v>
      </c>
      <c r="B73" s="47" t="s">
        <v>422</v>
      </c>
      <c r="C73" s="48"/>
      <c r="D73" s="21"/>
      <c r="E73" s="49">
        <v>0.015</v>
      </c>
      <c r="F73" s="36">
        <f>ROUND(D73*E73,0)</f>
        <v>0</v>
      </c>
      <c r="G73" s="36">
        <f>F73</f>
        <v>0</v>
      </c>
      <c r="H73" s="36">
        <f>G73</f>
        <v>0</v>
      </c>
    </row>
    <row r="74" hidden="1" spans="1:8">
      <c r="A74" s="20">
        <v>2</v>
      </c>
      <c r="B74" s="47" t="s">
        <v>422</v>
      </c>
      <c r="C74" s="48"/>
      <c r="D74" s="21"/>
      <c r="E74" s="49">
        <v>0.015</v>
      </c>
      <c r="F74" s="36">
        <f t="shared" ref="F74:F77" si="11">ROUND(D74*E74,0)</f>
        <v>0</v>
      </c>
      <c r="G74" s="36">
        <f t="shared" ref="G74:H76" si="12">F74</f>
        <v>0</v>
      </c>
      <c r="H74" s="36">
        <f t="shared" si="12"/>
        <v>0</v>
      </c>
    </row>
    <row r="75" hidden="1" spans="1:8">
      <c r="A75" s="20">
        <v>3</v>
      </c>
      <c r="B75" s="47" t="s">
        <v>422</v>
      </c>
      <c r="C75" s="48"/>
      <c r="D75" s="21"/>
      <c r="E75" s="49">
        <v>0.015</v>
      </c>
      <c r="F75" s="36">
        <f t="shared" si="11"/>
        <v>0</v>
      </c>
      <c r="G75" s="36">
        <f t="shared" si="12"/>
        <v>0</v>
      </c>
      <c r="H75" s="36">
        <f t="shared" si="12"/>
        <v>0</v>
      </c>
    </row>
    <row r="76" hidden="1" spans="1:8">
      <c r="A76" s="20">
        <v>4</v>
      </c>
      <c r="B76" s="47" t="s">
        <v>422</v>
      </c>
      <c r="C76" s="48"/>
      <c r="D76" s="21"/>
      <c r="E76" s="49">
        <v>0.015</v>
      </c>
      <c r="F76" s="36">
        <f t="shared" si="11"/>
        <v>0</v>
      </c>
      <c r="G76" s="36">
        <f t="shared" si="12"/>
        <v>0</v>
      </c>
      <c r="H76" s="36">
        <f t="shared" si="12"/>
        <v>0</v>
      </c>
    </row>
    <row r="77" hidden="1" spans="1:8">
      <c r="A77" s="20">
        <v>5</v>
      </c>
      <c r="B77" s="47" t="s">
        <v>423</v>
      </c>
      <c r="C77" s="48"/>
      <c r="D77" s="21"/>
      <c r="E77" s="49">
        <v>0.022</v>
      </c>
      <c r="F77" s="36">
        <f t="shared" si="11"/>
        <v>0</v>
      </c>
      <c r="G77" s="36">
        <f>F77</f>
        <v>0</v>
      </c>
      <c r="H77" s="36">
        <f>G77</f>
        <v>0</v>
      </c>
    </row>
    <row r="78" hidden="1" spans="1:8">
      <c r="A78" s="20"/>
      <c r="B78" s="30"/>
      <c r="C78" s="32"/>
      <c r="D78" s="21"/>
      <c r="E78" s="21"/>
      <c r="F78" s="36"/>
      <c r="G78" s="36"/>
      <c r="H78" s="36"/>
    </row>
    <row r="79" s="4" customFormat="1" ht="14.25" hidden="1" spans="1:11">
      <c r="A79" s="23"/>
      <c r="B79" s="45" t="s">
        <v>387</v>
      </c>
      <c r="C79" s="46"/>
      <c r="D79" s="24"/>
      <c r="E79" s="24"/>
      <c r="F79" s="39">
        <f>SUM(F73:F78)</f>
        <v>0</v>
      </c>
      <c r="G79" s="39">
        <f>SUM(G73:G78)</f>
        <v>0</v>
      </c>
      <c r="H79" s="39">
        <f>SUM(H73:H78)</f>
        <v>0</v>
      </c>
      <c r="I79" s="44"/>
      <c r="J79" s="44"/>
      <c r="K79" s="44"/>
    </row>
    <row r="80" hidden="1"/>
    <row r="81" ht="29.25" customHeight="1" spans="1:8">
      <c r="A81" s="50" t="s">
        <v>424</v>
      </c>
      <c r="B81" s="50"/>
      <c r="C81" s="50"/>
      <c r="D81" s="50"/>
      <c r="E81" s="50"/>
      <c r="F81" s="50"/>
      <c r="G81" s="50"/>
      <c r="H81" s="50"/>
    </row>
    <row r="83" ht="24" spans="1:8">
      <c r="A83" s="25" t="s">
        <v>389</v>
      </c>
      <c r="B83" s="27" t="s">
        <v>24</v>
      </c>
      <c r="C83" s="29"/>
      <c r="D83" s="18" t="s">
        <v>425</v>
      </c>
      <c r="E83" s="18" t="s">
        <v>409</v>
      </c>
      <c r="F83" s="18" t="s">
        <v>410</v>
      </c>
      <c r="G83" s="18" t="s">
        <v>411</v>
      </c>
      <c r="H83" s="18" t="s">
        <v>412</v>
      </c>
    </row>
    <row r="84" spans="1:8">
      <c r="A84" s="19">
        <v>1</v>
      </c>
      <c r="B84" s="30">
        <v>2</v>
      </c>
      <c r="C84" s="32"/>
      <c r="D84" s="19">
        <v>3</v>
      </c>
      <c r="E84" s="19">
        <v>4</v>
      </c>
      <c r="F84" s="19">
        <v>5</v>
      </c>
      <c r="G84" s="19">
        <v>6</v>
      </c>
      <c r="H84" s="19">
        <v>7</v>
      </c>
    </row>
    <row r="85" spans="1:8">
      <c r="A85" s="20"/>
      <c r="B85" s="30" t="s">
        <v>716</v>
      </c>
      <c r="C85" s="32"/>
      <c r="D85" s="21">
        <v>10000</v>
      </c>
      <c r="E85" s="21">
        <v>1</v>
      </c>
      <c r="F85" s="21">
        <f>D85*E85</f>
        <v>10000</v>
      </c>
      <c r="G85" s="21">
        <f>F85</f>
        <v>10000</v>
      </c>
      <c r="H85" s="21">
        <f>G85</f>
        <v>10000</v>
      </c>
    </row>
    <row r="86" spans="1:8">
      <c r="A86" s="20"/>
      <c r="B86" s="30"/>
      <c r="C86" s="32"/>
      <c r="D86" s="21"/>
      <c r="E86" s="21"/>
      <c r="F86" s="21"/>
      <c r="G86" s="21"/>
      <c r="H86" s="21"/>
    </row>
    <row r="87" spans="1:8">
      <c r="A87" s="20"/>
      <c r="B87" s="30"/>
      <c r="C87" s="32"/>
      <c r="D87" s="21"/>
      <c r="E87" s="21"/>
      <c r="F87" s="21"/>
      <c r="G87" s="21"/>
      <c r="H87" s="21"/>
    </row>
    <row r="88" spans="1:8">
      <c r="A88" s="20"/>
      <c r="B88" s="30"/>
      <c r="C88" s="32"/>
      <c r="D88" s="21"/>
      <c r="E88" s="21"/>
      <c r="F88" s="21"/>
      <c r="G88" s="21"/>
      <c r="H88" s="21"/>
    </row>
    <row r="89" spans="1:8">
      <c r="A89" s="20"/>
      <c r="B89" s="30"/>
      <c r="C89" s="32"/>
      <c r="D89" s="21"/>
      <c r="E89" s="21"/>
      <c r="F89" s="21"/>
      <c r="G89" s="21"/>
      <c r="H89" s="21"/>
    </row>
    <row r="90" spans="1:8">
      <c r="A90" s="20"/>
      <c r="B90" s="30"/>
      <c r="C90" s="32"/>
      <c r="D90" s="21"/>
      <c r="E90" s="21"/>
      <c r="F90" s="21"/>
      <c r="G90" s="21"/>
      <c r="H90" s="21"/>
    </row>
    <row r="91" spans="1:8">
      <c r="A91" s="20"/>
      <c r="B91" s="30" t="s">
        <v>387</v>
      </c>
      <c r="C91" s="32"/>
      <c r="D91" s="21"/>
      <c r="E91" s="21"/>
      <c r="F91" s="51">
        <f>SUM(F85:F90)</f>
        <v>10000</v>
      </c>
      <c r="G91" s="51">
        <f>F91</f>
        <v>10000</v>
      </c>
      <c r="H91" s="51">
        <f>G91</f>
        <v>10000</v>
      </c>
    </row>
    <row r="93" s="5" customFormat="1" ht="14.25" spans="1:11">
      <c r="A93" s="5" t="s">
        <v>427</v>
      </c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="5" customFormat="1" ht="14.25" spans="1:11">
      <c r="A94" s="5" t="s">
        <v>428</v>
      </c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6" ht="24" spans="1:9">
      <c r="A96" s="25" t="s">
        <v>389</v>
      </c>
      <c r="B96" s="27" t="s">
        <v>429</v>
      </c>
      <c r="C96" s="29"/>
      <c r="D96" s="18" t="s">
        <v>429</v>
      </c>
      <c r="E96" s="18" t="s">
        <v>430</v>
      </c>
      <c r="F96" s="18" t="s">
        <v>431</v>
      </c>
      <c r="G96" s="18" t="s">
        <v>410</v>
      </c>
      <c r="H96" s="18" t="s">
        <v>411</v>
      </c>
      <c r="I96" s="18" t="s">
        <v>412</v>
      </c>
    </row>
    <row r="97" spans="1:9">
      <c r="A97" s="19">
        <v>1</v>
      </c>
      <c r="B97" s="30">
        <v>2</v>
      </c>
      <c r="C97" s="32"/>
      <c r="D97" s="19">
        <v>3</v>
      </c>
      <c r="E97" s="19">
        <v>4</v>
      </c>
      <c r="F97" s="19">
        <v>5</v>
      </c>
      <c r="G97" s="19">
        <v>6</v>
      </c>
      <c r="H97" s="19">
        <v>7</v>
      </c>
      <c r="I97" s="19">
        <v>8</v>
      </c>
    </row>
    <row r="98" ht="31.5" customHeight="1" spans="1:9">
      <c r="A98" s="20"/>
      <c r="B98" s="52" t="s">
        <v>717</v>
      </c>
      <c r="C98" s="53"/>
      <c r="D98" s="21"/>
      <c r="E98" s="21"/>
      <c r="F98" s="21"/>
      <c r="G98" s="36"/>
      <c r="H98" s="36"/>
      <c r="I98" s="36"/>
    </row>
    <row r="99" spans="1:9">
      <c r="A99" s="20"/>
      <c r="B99" s="47" t="s">
        <v>434</v>
      </c>
      <c r="C99" s="48"/>
      <c r="D99" s="21">
        <v>1</v>
      </c>
      <c r="E99" s="21">
        <v>12</v>
      </c>
      <c r="F99" s="21">
        <v>252</v>
      </c>
      <c r="G99" s="36">
        <f>D99*E99*F99</f>
        <v>3024</v>
      </c>
      <c r="H99" s="36">
        <f>G99</f>
        <v>3024</v>
      </c>
      <c r="I99" s="36">
        <f>H99</f>
        <v>3024</v>
      </c>
    </row>
    <row r="100" spans="1:9">
      <c r="A100" s="20"/>
      <c r="B100" s="47" t="s">
        <v>435</v>
      </c>
      <c r="C100" s="48"/>
      <c r="D100" s="21">
        <v>500</v>
      </c>
      <c r="E100" s="21">
        <v>12</v>
      </c>
      <c r="F100" s="21">
        <v>0.62</v>
      </c>
      <c r="G100" s="36">
        <f t="shared" ref="G100:G101" si="13">D100*E100*F100</f>
        <v>3720</v>
      </c>
      <c r="H100" s="36">
        <f>G100</f>
        <v>3720</v>
      </c>
      <c r="I100" s="36">
        <f>H100</f>
        <v>3720</v>
      </c>
    </row>
    <row r="101" spans="1:9">
      <c r="A101" s="20"/>
      <c r="B101" s="47" t="s">
        <v>436</v>
      </c>
      <c r="C101" s="48"/>
      <c r="D101" s="21"/>
      <c r="E101" s="21"/>
      <c r="F101" s="21"/>
      <c r="G101" s="36">
        <f t="shared" si="13"/>
        <v>0</v>
      </c>
      <c r="H101" s="36"/>
      <c r="I101" s="36"/>
    </row>
    <row r="102" spans="1:9">
      <c r="A102" s="20"/>
      <c r="B102" s="30"/>
      <c r="C102" s="32"/>
      <c r="D102" s="21"/>
      <c r="E102" s="21"/>
      <c r="F102" s="21"/>
      <c r="G102" s="36"/>
      <c r="H102" s="36"/>
      <c r="I102" s="36"/>
    </row>
    <row r="103" spans="1:9">
      <c r="A103" s="20"/>
      <c r="B103" s="30"/>
      <c r="C103" s="32"/>
      <c r="D103" s="21"/>
      <c r="E103" s="21"/>
      <c r="F103" s="21"/>
      <c r="G103" s="36"/>
      <c r="H103" s="36"/>
      <c r="I103" s="36"/>
    </row>
    <row r="104" s="4" customFormat="1" ht="14.25" spans="1:11">
      <c r="A104" s="23"/>
      <c r="B104" s="45" t="s">
        <v>387</v>
      </c>
      <c r="C104" s="46"/>
      <c r="D104" s="24"/>
      <c r="E104" s="24"/>
      <c r="F104" s="24"/>
      <c r="G104" s="39">
        <f>ROUND(SUM(G98:G103),0)</f>
        <v>6744</v>
      </c>
      <c r="H104" s="39">
        <f t="shared" ref="H104:I104" si="14">SUM(H98:H103)</f>
        <v>6744</v>
      </c>
      <c r="I104" s="39">
        <f t="shared" si="14"/>
        <v>6744</v>
      </c>
      <c r="J104" s="44"/>
      <c r="K104" s="44"/>
    </row>
    <row r="106" s="5" customFormat="1" ht="14.25" hidden="1" spans="1:11">
      <c r="A106" s="5" t="s">
        <v>437</v>
      </c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hidden="1"/>
    <row r="108" ht="36" hidden="1" spans="1:8">
      <c r="A108" s="25" t="s">
        <v>389</v>
      </c>
      <c r="B108" s="27" t="s">
        <v>416</v>
      </c>
      <c r="C108" s="29"/>
      <c r="D108" s="18" t="s">
        <v>438</v>
      </c>
      <c r="E108" s="18" t="s">
        <v>439</v>
      </c>
      <c r="F108" s="18" t="s">
        <v>410</v>
      </c>
      <c r="G108" s="18" t="s">
        <v>411</v>
      </c>
      <c r="H108" s="18" t="s">
        <v>412</v>
      </c>
    </row>
    <row r="109" hidden="1" spans="1:8">
      <c r="A109" s="19">
        <v>1</v>
      </c>
      <c r="B109" s="30">
        <v>2</v>
      </c>
      <c r="C109" s="32"/>
      <c r="D109" s="19">
        <v>3</v>
      </c>
      <c r="E109" s="19">
        <v>4</v>
      </c>
      <c r="F109" s="19">
        <v>5</v>
      </c>
      <c r="G109" s="19">
        <v>6</v>
      </c>
      <c r="H109" s="19">
        <v>7</v>
      </c>
    </row>
    <row r="110" hidden="1" spans="1:8">
      <c r="A110" s="20">
        <v>1</v>
      </c>
      <c r="B110" s="30" t="s">
        <v>440</v>
      </c>
      <c r="C110" s="32"/>
      <c r="D110" s="21"/>
      <c r="E110" s="21"/>
      <c r="F110" s="21">
        <f>D110*E110</f>
        <v>0</v>
      </c>
      <c r="G110" s="21"/>
      <c r="H110" s="21"/>
    </row>
    <row r="111" hidden="1" spans="1:8">
      <c r="A111" s="20"/>
      <c r="B111" s="30"/>
      <c r="C111" s="32"/>
      <c r="D111" s="21"/>
      <c r="E111" s="21"/>
      <c r="F111" s="21">
        <f t="shared" ref="F111:F115" si="15">D111*E111</f>
        <v>0</v>
      </c>
      <c r="G111" s="21"/>
      <c r="H111" s="21"/>
    </row>
    <row r="112" hidden="1" spans="1:8">
      <c r="A112" s="20"/>
      <c r="B112" s="30"/>
      <c r="C112" s="32"/>
      <c r="D112" s="21"/>
      <c r="E112" s="21"/>
      <c r="F112" s="21">
        <f t="shared" si="15"/>
        <v>0</v>
      </c>
      <c r="G112" s="21"/>
      <c r="H112" s="21"/>
    </row>
    <row r="113" hidden="1" spans="1:8">
      <c r="A113" s="20"/>
      <c r="B113" s="30"/>
      <c r="C113" s="32"/>
      <c r="D113" s="21"/>
      <c r="E113" s="21"/>
      <c r="F113" s="21">
        <f t="shared" si="15"/>
        <v>0</v>
      </c>
      <c r="G113" s="21"/>
      <c r="H113" s="21"/>
    </row>
    <row r="114" hidden="1" spans="1:8">
      <c r="A114" s="20"/>
      <c r="B114" s="30"/>
      <c r="C114" s="32"/>
      <c r="D114" s="21"/>
      <c r="E114" s="21"/>
      <c r="F114" s="21">
        <f t="shared" si="15"/>
        <v>0</v>
      </c>
      <c r="G114" s="21"/>
      <c r="H114" s="21"/>
    </row>
    <row r="115" hidden="1" spans="1:8">
      <c r="A115" s="20"/>
      <c r="B115" s="30"/>
      <c r="C115" s="32"/>
      <c r="D115" s="21"/>
      <c r="E115" s="21"/>
      <c r="F115" s="21">
        <f t="shared" si="15"/>
        <v>0</v>
      </c>
      <c r="G115" s="21"/>
      <c r="H115" s="21"/>
    </row>
    <row r="116" s="4" customFormat="1" ht="14.25" hidden="1" spans="1:11">
      <c r="A116" s="23"/>
      <c r="B116" s="45" t="s">
        <v>387</v>
      </c>
      <c r="C116" s="46"/>
      <c r="D116" s="24"/>
      <c r="E116" s="24"/>
      <c r="F116" s="24">
        <f>SUM(F110:F115)</f>
        <v>0</v>
      </c>
      <c r="G116" s="24">
        <f t="shared" ref="G116:H116" si="16">SUM(G110:G115)</f>
        <v>0</v>
      </c>
      <c r="H116" s="24">
        <f t="shared" si="16"/>
        <v>0</v>
      </c>
      <c r="I116" s="44"/>
      <c r="J116" s="44"/>
      <c r="K116" s="44"/>
    </row>
    <row r="117" hidden="1"/>
    <row r="118" s="5" customFormat="1" ht="14.25" spans="1:11">
      <c r="A118" s="5" t="s">
        <v>441</v>
      </c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20" ht="36" spans="1:9">
      <c r="A120" s="25" t="s">
        <v>389</v>
      </c>
      <c r="B120" s="27" t="s">
        <v>24</v>
      </c>
      <c r="C120" s="29"/>
      <c r="D120" s="18" t="s">
        <v>442</v>
      </c>
      <c r="E120" s="18" t="s">
        <v>443</v>
      </c>
      <c r="F120" s="18" t="s">
        <v>444</v>
      </c>
      <c r="G120" s="18" t="s">
        <v>410</v>
      </c>
      <c r="H120" s="18" t="s">
        <v>411</v>
      </c>
      <c r="I120" s="18" t="s">
        <v>412</v>
      </c>
    </row>
    <row r="121" spans="1:9">
      <c r="A121" s="19">
        <v>1</v>
      </c>
      <c r="B121" s="30">
        <v>2</v>
      </c>
      <c r="C121" s="32"/>
      <c r="D121" s="19">
        <v>3</v>
      </c>
      <c r="E121" s="19">
        <v>4</v>
      </c>
      <c r="F121" s="19">
        <v>5</v>
      </c>
      <c r="G121" s="19">
        <v>6</v>
      </c>
      <c r="H121" s="19">
        <v>7</v>
      </c>
      <c r="I121" s="19">
        <v>8</v>
      </c>
    </row>
    <row r="122" ht="30" customHeight="1" spans="1:9">
      <c r="A122" s="20"/>
      <c r="B122" s="54" t="s">
        <v>445</v>
      </c>
      <c r="C122" s="55"/>
      <c r="D122" s="21"/>
      <c r="E122" s="21"/>
      <c r="F122" s="21"/>
      <c r="G122" s="21">
        <f>D122*E122*F122</f>
        <v>0</v>
      </c>
      <c r="H122" s="21"/>
      <c r="I122" s="21"/>
    </row>
    <row r="123" spans="1:9">
      <c r="A123" s="20"/>
      <c r="B123" s="56" t="s">
        <v>446</v>
      </c>
      <c r="C123" s="57" t="s">
        <v>447</v>
      </c>
      <c r="D123" s="21">
        <v>6143</v>
      </c>
      <c r="E123" s="21">
        <v>1</v>
      </c>
      <c r="F123" s="21">
        <v>1</v>
      </c>
      <c r="G123" s="21">
        <f t="shared" ref="G123:G127" si="17">D123*E123*F123</f>
        <v>6143</v>
      </c>
      <c r="H123" s="21">
        <v>6143</v>
      </c>
      <c r="I123" s="21">
        <v>6143</v>
      </c>
    </row>
    <row r="124" hidden="1" spans="1:9">
      <c r="A124" s="20"/>
      <c r="B124" s="30"/>
      <c r="C124" s="32"/>
      <c r="D124" s="21"/>
      <c r="E124" s="21"/>
      <c r="F124" s="21"/>
      <c r="G124" s="21">
        <f t="shared" si="17"/>
        <v>0</v>
      </c>
      <c r="H124" s="21"/>
      <c r="I124" s="21"/>
    </row>
    <row r="125" hidden="1" spans="1:9">
      <c r="A125" s="20"/>
      <c r="B125" s="30"/>
      <c r="C125" s="32"/>
      <c r="D125" s="21"/>
      <c r="E125" s="21"/>
      <c r="F125" s="21"/>
      <c r="G125" s="21">
        <f t="shared" si="17"/>
        <v>0</v>
      </c>
      <c r="H125" s="21"/>
      <c r="I125" s="21"/>
    </row>
    <row r="126" hidden="1" spans="1:9">
      <c r="A126" s="20"/>
      <c r="B126" s="30"/>
      <c r="C126" s="32"/>
      <c r="D126" s="21"/>
      <c r="E126" s="21"/>
      <c r="F126" s="21"/>
      <c r="G126" s="21">
        <f t="shared" si="17"/>
        <v>0</v>
      </c>
      <c r="H126" s="21"/>
      <c r="I126" s="21"/>
    </row>
    <row r="127" hidden="1" spans="1:9">
      <c r="A127" s="20"/>
      <c r="B127" s="30"/>
      <c r="C127" s="32"/>
      <c r="D127" s="21"/>
      <c r="E127" s="21"/>
      <c r="F127" s="21"/>
      <c r="G127" s="21">
        <f t="shared" si="17"/>
        <v>0</v>
      </c>
      <c r="H127" s="21"/>
      <c r="I127" s="21"/>
    </row>
    <row r="128" s="4" customFormat="1" ht="14.25" spans="1:11">
      <c r="A128" s="23"/>
      <c r="B128" s="45" t="s">
        <v>387</v>
      </c>
      <c r="C128" s="46"/>
      <c r="D128" s="24"/>
      <c r="E128" s="24"/>
      <c r="F128" s="24"/>
      <c r="G128" s="24">
        <f>SUM(G122:G127)</f>
        <v>6143</v>
      </c>
      <c r="H128" s="24">
        <f t="shared" ref="H128:I128" si="18">SUM(H122:H127)</f>
        <v>6143</v>
      </c>
      <c r="I128" s="24">
        <f t="shared" si="18"/>
        <v>6143</v>
      </c>
      <c r="J128" s="44"/>
      <c r="K128" s="44"/>
    </row>
    <row r="130" s="5" customFormat="1" ht="14.25" hidden="1" spans="1:11">
      <c r="A130" s="5" t="s">
        <v>461</v>
      </c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hidden="1"/>
    <row r="132" ht="48" hidden="1" spans="1:8">
      <c r="A132" s="25" t="s">
        <v>389</v>
      </c>
      <c r="B132" s="27" t="s">
        <v>24</v>
      </c>
      <c r="C132" s="29"/>
      <c r="D132" s="18" t="s">
        <v>462</v>
      </c>
      <c r="E132" s="18" t="s">
        <v>463</v>
      </c>
      <c r="F132" s="18" t="s">
        <v>464</v>
      </c>
      <c r="G132" s="18" t="s">
        <v>464</v>
      </c>
      <c r="H132" s="18" t="s">
        <v>464</v>
      </c>
    </row>
    <row r="133" hidden="1" spans="1:8">
      <c r="A133" s="19">
        <v>1</v>
      </c>
      <c r="B133" s="30">
        <v>2</v>
      </c>
      <c r="C133" s="32"/>
      <c r="D133" s="19">
        <v>3</v>
      </c>
      <c r="E133" s="19">
        <v>4</v>
      </c>
      <c r="F133" s="19">
        <v>5</v>
      </c>
      <c r="G133" s="19">
        <v>6</v>
      </c>
      <c r="H133" s="19">
        <v>7</v>
      </c>
    </row>
    <row r="134" hidden="1" spans="1:8">
      <c r="A134" s="20"/>
      <c r="B134" s="30"/>
      <c r="C134" s="32"/>
      <c r="D134" s="21"/>
      <c r="E134" s="21"/>
      <c r="F134" s="21"/>
      <c r="G134" s="21"/>
      <c r="H134" s="21"/>
    </row>
    <row r="135" hidden="1" spans="1:8">
      <c r="A135" s="20"/>
      <c r="B135" s="30"/>
      <c r="C135" s="32"/>
      <c r="D135" s="21"/>
      <c r="E135" s="21"/>
      <c r="F135" s="21"/>
      <c r="G135" s="21"/>
      <c r="H135" s="21"/>
    </row>
    <row r="136" hidden="1" spans="1:8">
      <c r="A136" s="20"/>
      <c r="B136" s="30"/>
      <c r="C136" s="32"/>
      <c r="D136" s="21"/>
      <c r="E136" s="21"/>
      <c r="F136" s="21"/>
      <c r="G136" s="21"/>
      <c r="H136" s="21"/>
    </row>
    <row r="137" hidden="1" spans="1:8">
      <c r="A137" s="20"/>
      <c r="B137" s="30"/>
      <c r="C137" s="32"/>
      <c r="D137" s="21"/>
      <c r="E137" s="21"/>
      <c r="F137" s="21"/>
      <c r="G137" s="21"/>
      <c r="H137" s="21"/>
    </row>
    <row r="138" hidden="1" spans="1:8">
      <c r="A138" s="20"/>
      <c r="B138" s="30"/>
      <c r="C138" s="32"/>
      <c r="D138" s="21"/>
      <c r="E138" s="21"/>
      <c r="F138" s="21"/>
      <c r="G138" s="21"/>
      <c r="H138" s="21"/>
    </row>
    <row r="139" hidden="1" spans="1:8">
      <c r="A139" s="20"/>
      <c r="B139" s="30"/>
      <c r="C139" s="32"/>
      <c r="D139" s="21"/>
      <c r="E139" s="21"/>
      <c r="F139" s="21"/>
      <c r="G139" s="21"/>
      <c r="H139" s="21"/>
    </row>
    <row r="140" s="4" customFormat="1" ht="14.25" hidden="1" spans="1:11">
      <c r="A140" s="23"/>
      <c r="B140" s="45" t="s">
        <v>387</v>
      </c>
      <c r="C140" s="46"/>
      <c r="D140" s="24"/>
      <c r="E140" s="24"/>
      <c r="F140" s="24">
        <f>SUM(F134:F139)</f>
        <v>0</v>
      </c>
      <c r="G140" s="24">
        <f t="shared" ref="G140:H140" si="19">SUM(G134:G139)</f>
        <v>0</v>
      </c>
      <c r="H140" s="24">
        <f t="shared" si="19"/>
        <v>0</v>
      </c>
      <c r="I140" s="44"/>
      <c r="J140" s="44"/>
      <c r="K140" s="44"/>
    </row>
    <row r="141" hidden="1"/>
    <row r="142" s="5" customFormat="1" ht="14.25" spans="1:11">
      <c r="A142" s="5" t="s">
        <v>465</v>
      </c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4" ht="24" spans="1:8">
      <c r="A144" s="25" t="s">
        <v>389</v>
      </c>
      <c r="B144" s="27" t="s">
        <v>24</v>
      </c>
      <c r="C144" s="29"/>
      <c r="D144" s="18" t="s">
        <v>466</v>
      </c>
      <c r="E144" s="18" t="s">
        <v>467</v>
      </c>
      <c r="F144" s="18" t="s">
        <v>410</v>
      </c>
      <c r="G144" s="18" t="s">
        <v>411</v>
      </c>
      <c r="H144" s="18" t="s">
        <v>412</v>
      </c>
    </row>
    <row r="145" spans="1:8">
      <c r="A145" s="19">
        <v>1</v>
      </c>
      <c r="B145" s="30">
        <v>2</v>
      </c>
      <c r="C145" s="32"/>
      <c r="D145" s="19">
        <v>3</v>
      </c>
      <c r="E145" s="19">
        <v>4</v>
      </c>
      <c r="F145" s="19">
        <v>5</v>
      </c>
      <c r="G145" s="19">
        <v>6</v>
      </c>
      <c r="H145" s="19">
        <v>7</v>
      </c>
    </row>
    <row r="146" spans="1:8">
      <c r="A146" s="20">
        <v>1</v>
      </c>
      <c r="B146" s="47" t="s">
        <v>718</v>
      </c>
      <c r="C146" s="48"/>
      <c r="D146" s="21">
        <v>1</v>
      </c>
      <c r="E146" s="21">
        <v>500</v>
      </c>
      <c r="F146" s="21">
        <f>E146*D146*10</f>
        <v>5000</v>
      </c>
      <c r="G146" s="21">
        <f>F146</f>
        <v>5000</v>
      </c>
      <c r="H146" s="21">
        <f>G146</f>
        <v>5000</v>
      </c>
    </row>
    <row r="147" spans="1:8">
      <c r="A147" s="20"/>
      <c r="B147" s="30" t="s">
        <v>719</v>
      </c>
      <c r="C147" s="32"/>
      <c r="D147" s="21">
        <v>1</v>
      </c>
      <c r="E147" s="21">
        <v>220</v>
      </c>
      <c r="F147" s="21">
        <f>E147*D147</f>
        <v>220</v>
      </c>
      <c r="G147" s="21"/>
      <c r="H147" s="21"/>
    </row>
    <row r="148" spans="1:8">
      <c r="A148" s="20"/>
      <c r="B148" s="30" t="s">
        <v>720</v>
      </c>
      <c r="C148" s="32"/>
      <c r="D148" s="21">
        <v>1</v>
      </c>
      <c r="E148" s="21">
        <v>8500</v>
      </c>
      <c r="F148" s="21">
        <f t="shared" ref="F148:F166" si="20">E148*D148</f>
        <v>8500</v>
      </c>
      <c r="G148" s="21">
        <f>F148</f>
        <v>8500</v>
      </c>
      <c r="H148" s="21">
        <f>G148</f>
        <v>8500</v>
      </c>
    </row>
    <row r="149" spans="1:8">
      <c r="A149" s="20"/>
      <c r="B149" s="30" t="s">
        <v>721</v>
      </c>
      <c r="C149" s="32"/>
      <c r="D149" s="21"/>
      <c r="E149" s="21"/>
      <c r="F149" s="21">
        <f t="shared" si="20"/>
        <v>0</v>
      </c>
      <c r="G149" s="21"/>
      <c r="H149" s="21"/>
    </row>
    <row r="150" spans="1:8">
      <c r="A150" s="20"/>
      <c r="B150" s="30"/>
      <c r="C150" s="32"/>
      <c r="D150" s="21"/>
      <c r="E150" s="21"/>
      <c r="F150" s="21">
        <f t="shared" si="20"/>
        <v>0</v>
      </c>
      <c r="G150" s="21"/>
      <c r="H150" s="21"/>
    </row>
    <row r="151" ht="43.5" customHeight="1" spans="1:8">
      <c r="A151" s="20">
        <v>2</v>
      </c>
      <c r="B151" s="52" t="s">
        <v>722</v>
      </c>
      <c r="C151" s="53"/>
      <c r="D151" s="21">
        <v>4</v>
      </c>
      <c r="E151" s="21">
        <v>10000</v>
      </c>
      <c r="F151" s="21">
        <f t="shared" si="20"/>
        <v>40000</v>
      </c>
      <c r="G151" s="21">
        <f>F151</f>
        <v>40000</v>
      </c>
      <c r="H151" s="21">
        <f>G151</f>
        <v>40000</v>
      </c>
    </row>
    <row r="152" spans="1:8">
      <c r="A152" s="20"/>
      <c r="B152" s="30" t="s">
        <v>723</v>
      </c>
      <c r="C152" s="32"/>
      <c r="D152" s="21"/>
      <c r="E152" s="21"/>
      <c r="F152" s="21">
        <f t="shared" si="20"/>
        <v>0</v>
      </c>
      <c r="G152" s="21"/>
      <c r="H152" s="21"/>
    </row>
    <row r="153" spans="1:8">
      <c r="A153" s="20"/>
      <c r="B153" s="30" t="s">
        <v>723</v>
      </c>
      <c r="C153" s="32"/>
      <c r="D153" s="21"/>
      <c r="E153" s="21"/>
      <c r="F153" s="21"/>
      <c r="G153" s="21"/>
      <c r="H153" s="21"/>
    </row>
    <row r="154" spans="1:8">
      <c r="A154" s="20"/>
      <c r="B154" s="30" t="s">
        <v>724</v>
      </c>
      <c r="C154" s="32"/>
      <c r="D154" s="21"/>
      <c r="E154" s="21"/>
      <c r="F154" s="21"/>
      <c r="G154" s="21"/>
      <c r="H154" s="21"/>
    </row>
    <row r="155" spans="1:8">
      <c r="A155" s="20"/>
      <c r="B155" s="30"/>
      <c r="C155" s="32"/>
      <c r="D155" s="21"/>
      <c r="E155" s="21"/>
      <c r="F155" s="21">
        <f t="shared" si="20"/>
        <v>0</v>
      </c>
      <c r="G155" s="21"/>
      <c r="H155" s="21"/>
    </row>
    <row r="156" ht="42" customHeight="1" spans="1:8">
      <c r="A156" s="20">
        <v>3</v>
      </c>
      <c r="B156" s="52" t="s">
        <v>725</v>
      </c>
      <c r="C156" s="53"/>
      <c r="D156" s="21">
        <v>1</v>
      </c>
      <c r="E156" s="21">
        <f>256980.91+10400-220</f>
        <v>267160.91</v>
      </c>
      <c r="F156" s="21">
        <f t="shared" si="20"/>
        <v>267160.91</v>
      </c>
      <c r="G156" s="21">
        <v>332101.47</v>
      </c>
      <c r="H156" s="21">
        <v>332101.47</v>
      </c>
    </row>
    <row r="157" spans="1:8">
      <c r="A157" s="20"/>
      <c r="B157" s="30" t="s">
        <v>726</v>
      </c>
      <c r="C157" s="32"/>
      <c r="D157" s="21"/>
      <c r="E157" s="21"/>
      <c r="F157" s="21">
        <f t="shared" si="20"/>
        <v>0</v>
      </c>
      <c r="G157" s="21"/>
      <c r="H157" s="21"/>
    </row>
    <row r="158" spans="1:8">
      <c r="A158" s="20"/>
      <c r="B158" s="30" t="s">
        <v>727</v>
      </c>
      <c r="C158" s="32"/>
      <c r="D158" s="21"/>
      <c r="E158" s="21"/>
      <c r="F158" s="21">
        <f t="shared" si="20"/>
        <v>0</v>
      </c>
      <c r="G158" s="21"/>
      <c r="H158" s="21"/>
    </row>
    <row r="159" hidden="1" customHeight="1" spans="1:8">
      <c r="A159" s="20"/>
      <c r="B159" s="30"/>
      <c r="C159" s="32"/>
      <c r="D159" s="21"/>
      <c r="E159" s="21"/>
      <c r="F159" s="21">
        <f t="shared" si="20"/>
        <v>0</v>
      </c>
      <c r="G159" s="21"/>
      <c r="H159" s="21"/>
    </row>
    <row r="160" hidden="1" customHeight="1" spans="1:8">
      <c r="A160" s="20"/>
      <c r="B160" s="30"/>
      <c r="C160" s="32"/>
      <c r="D160" s="21"/>
      <c r="E160" s="21"/>
      <c r="F160" s="21">
        <f t="shared" si="20"/>
        <v>0</v>
      </c>
      <c r="G160" s="21"/>
      <c r="H160" s="21"/>
    </row>
    <row r="161" hidden="1" customHeight="1" spans="1:8">
      <c r="A161" s="20"/>
      <c r="B161" s="30"/>
      <c r="C161" s="32"/>
      <c r="D161" s="21"/>
      <c r="E161" s="21"/>
      <c r="F161" s="21">
        <f t="shared" si="20"/>
        <v>0</v>
      </c>
      <c r="G161" s="21"/>
      <c r="H161" s="21"/>
    </row>
    <row r="162" hidden="1" customHeight="1" spans="1:8">
      <c r="A162" s="20"/>
      <c r="B162" s="30"/>
      <c r="C162" s="32"/>
      <c r="D162" s="21"/>
      <c r="E162" s="21"/>
      <c r="F162" s="21">
        <f t="shared" si="20"/>
        <v>0</v>
      </c>
      <c r="G162" s="21"/>
      <c r="H162" s="21"/>
    </row>
    <row r="163" hidden="1" customHeight="1" spans="1:8">
      <c r="A163" s="20"/>
      <c r="B163" s="30"/>
      <c r="C163" s="32"/>
      <c r="D163" s="21"/>
      <c r="E163" s="21"/>
      <c r="F163" s="21">
        <f t="shared" si="20"/>
        <v>0</v>
      </c>
      <c r="G163" s="21"/>
      <c r="H163" s="21"/>
    </row>
    <row r="164" hidden="1" customHeight="1" spans="1:8">
      <c r="A164" s="20"/>
      <c r="B164" s="30"/>
      <c r="C164" s="32"/>
      <c r="D164" s="21"/>
      <c r="E164" s="21"/>
      <c r="F164" s="21">
        <f t="shared" si="20"/>
        <v>0</v>
      </c>
      <c r="G164" s="21"/>
      <c r="H164" s="21"/>
    </row>
    <row r="165" hidden="1" customHeight="1" spans="1:8">
      <c r="A165" s="20"/>
      <c r="B165" s="30"/>
      <c r="C165" s="32"/>
      <c r="D165" s="21"/>
      <c r="E165" s="21"/>
      <c r="F165" s="21">
        <f t="shared" si="20"/>
        <v>0</v>
      </c>
      <c r="G165" s="21"/>
      <c r="H165" s="21"/>
    </row>
    <row r="166" spans="1:8">
      <c r="A166" s="20"/>
      <c r="B166" s="30" t="s">
        <v>728</v>
      </c>
      <c r="C166" s="32"/>
      <c r="D166" s="21"/>
      <c r="E166" s="21"/>
      <c r="F166" s="21">
        <f t="shared" si="20"/>
        <v>0</v>
      </c>
      <c r="G166" s="21"/>
      <c r="H166" s="21"/>
    </row>
    <row r="167" s="4" customFormat="1" ht="14.25" spans="1:11">
      <c r="A167" s="23"/>
      <c r="B167" s="45" t="s">
        <v>387</v>
      </c>
      <c r="C167" s="46"/>
      <c r="D167" s="24"/>
      <c r="E167" s="24"/>
      <c r="F167" s="24">
        <f>SUM(F146:F166)</f>
        <v>320880.91</v>
      </c>
      <c r="G167" s="24">
        <f t="shared" ref="G167:H167" si="21">SUM(G146:G166)</f>
        <v>385601.47</v>
      </c>
      <c r="H167" s="24">
        <f t="shared" si="21"/>
        <v>385601.47</v>
      </c>
      <c r="I167" s="44"/>
      <c r="J167" s="44"/>
      <c r="K167" s="44"/>
    </row>
    <row r="169" s="5" customFormat="1" ht="14.25" spans="1:11">
      <c r="A169" s="5" t="s">
        <v>502</v>
      </c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1" ht="24" spans="1:8">
      <c r="A171" s="25" t="s">
        <v>389</v>
      </c>
      <c r="B171" s="27" t="s">
        <v>416</v>
      </c>
      <c r="C171" s="29"/>
      <c r="D171" s="18" t="s">
        <v>466</v>
      </c>
      <c r="E171" s="18" t="s">
        <v>467</v>
      </c>
      <c r="F171" s="18" t="s">
        <v>410</v>
      </c>
      <c r="G171" s="18" t="s">
        <v>411</v>
      </c>
      <c r="H171" s="18" t="s">
        <v>412</v>
      </c>
    </row>
    <row r="172" spans="1:8">
      <c r="A172" s="19">
        <v>1</v>
      </c>
      <c r="B172" s="30">
        <v>2</v>
      </c>
      <c r="C172" s="32"/>
      <c r="D172" s="19">
        <v>3</v>
      </c>
      <c r="E172" s="19">
        <v>4</v>
      </c>
      <c r="F172" s="19">
        <v>5</v>
      </c>
      <c r="G172" s="19">
        <v>6</v>
      </c>
      <c r="H172" s="19">
        <v>7</v>
      </c>
    </row>
    <row r="173" spans="1:8">
      <c r="A173" s="20">
        <v>1</v>
      </c>
      <c r="B173" s="47" t="s">
        <v>729</v>
      </c>
      <c r="C173" s="48"/>
      <c r="D173" s="21">
        <v>1</v>
      </c>
      <c r="E173" s="21">
        <v>50400</v>
      </c>
      <c r="F173" s="21">
        <f>E173*D173</f>
        <v>50400</v>
      </c>
      <c r="G173" s="21">
        <f>F173</f>
        <v>50400</v>
      </c>
      <c r="H173" s="21">
        <f>G173</f>
        <v>50400</v>
      </c>
    </row>
    <row r="174" spans="1:8">
      <c r="A174" s="20"/>
      <c r="B174" s="30" t="s">
        <v>730</v>
      </c>
      <c r="C174" s="32"/>
      <c r="D174" s="21"/>
      <c r="E174" s="21"/>
      <c r="F174" s="21">
        <f t="shared" ref="F174:F195" si="22">E174*D174</f>
        <v>0</v>
      </c>
      <c r="G174" s="21"/>
      <c r="H174" s="21"/>
    </row>
    <row r="175" spans="1:8">
      <c r="A175" s="20"/>
      <c r="B175" s="30"/>
      <c r="C175" s="32"/>
      <c r="D175" s="21"/>
      <c r="E175" s="21"/>
      <c r="F175" s="21">
        <f t="shared" si="22"/>
        <v>0</v>
      </c>
      <c r="G175" s="21"/>
      <c r="H175" s="21"/>
    </row>
    <row r="176" ht="30" customHeight="1" spans="1:8">
      <c r="A176" s="20">
        <v>2</v>
      </c>
      <c r="B176" s="52" t="s">
        <v>731</v>
      </c>
      <c r="C176" s="53"/>
      <c r="D176" s="21">
        <v>1</v>
      </c>
      <c r="E176" s="21">
        <v>30000</v>
      </c>
      <c r="F176" s="21">
        <f t="shared" si="22"/>
        <v>30000</v>
      </c>
      <c r="G176" s="21">
        <f>F176</f>
        <v>30000</v>
      </c>
      <c r="H176" s="21">
        <f>G176</f>
        <v>30000</v>
      </c>
    </row>
    <row r="177" spans="1:8">
      <c r="A177" s="20"/>
      <c r="B177" s="30" t="s">
        <v>732</v>
      </c>
      <c r="C177" s="32"/>
      <c r="D177" s="21"/>
      <c r="E177" s="21"/>
      <c r="F177" s="21">
        <f t="shared" si="22"/>
        <v>0</v>
      </c>
      <c r="G177" s="21"/>
      <c r="H177" s="21"/>
    </row>
    <row r="178" spans="1:8">
      <c r="A178" s="20"/>
      <c r="B178" s="30"/>
      <c r="C178" s="32"/>
      <c r="D178" s="21"/>
      <c r="E178" s="21"/>
      <c r="F178" s="21">
        <f t="shared" si="22"/>
        <v>0</v>
      </c>
      <c r="G178" s="21"/>
      <c r="H178" s="21"/>
    </row>
    <row r="179" spans="1:8">
      <c r="A179" s="20">
        <v>3</v>
      </c>
      <c r="B179" s="47" t="s">
        <v>733</v>
      </c>
      <c r="C179" s="48"/>
      <c r="D179" s="21"/>
      <c r="E179" s="21"/>
      <c r="F179" s="21">
        <f t="shared" si="22"/>
        <v>0</v>
      </c>
      <c r="G179" s="21">
        <v>40000</v>
      </c>
      <c r="H179" s="21">
        <f>G179</f>
        <v>40000</v>
      </c>
    </row>
    <row r="180" spans="1:8">
      <c r="A180" s="20"/>
      <c r="B180" s="30" t="s">
        <v>734</v>
      </c>
      <c r="C180" s="32"/>
      <c r="D180" s="21"/>
      <c r="E180" s="21"/>
      <c r="F180" s="21">
        <f t="shared" si="22"/>
        <v>0</v>
      </c>
      <c r="G180" s="21"/>
      <c r="H180" s="21"/>
    </row>
    <row r="181" spans="1:8">
      <c r="A181" s="20"/>
      <c r="B181" s="30"/>
      <c r="C181" s="32"/>
      <c r="D181" s="21"/>
      <c r="E181" s="21"/>
      <c r="F181" s="21">
        <f t="shared" si="22"/>
        <v>0</v>
      </c>
      <c r="G181" s="21"/>
      <c r="H181" s="21"/>
    </row>
    <row r="182" ht="44.25" customHeight="1" spans="1:8">
      <c r="A182" s="20">
        <v>4</v>
      </c>
      <c r="B182" s="52" t="s">
        <v>735</v>
      </c>
      <c r="C182" s="53"/>
      <c r="D182" s="21">
        <v>1</v>
      </c>
      <c r="E182" s="21">
        <v>26200</v>
      </c>
      <c r="F182" s="21">
        <f t="shared" si="22"/>
        <v>26200</v>
      </c>
      <c r="G182" s="21">
        <v>0</v>
      </c>
      <c r="H182" s="21">
        <v>0</v>
      </c>
    </row>
    <row r="183" spans="1:8">
      <c r="A183" s="20"/>
      <c r="B183" s="56" t="s">
        <v>736</v>
      </c>
      <c r="C183" s="57"/>
      <c r="D183" s="21"/>
      <c r="E183" s="21"/>
      <c r="F183" s="21">
        <f t="shared" si="22"/>
        <v>0</v>
      </c>
      <c r="G183" s="21"/>
      <c r="H183" s="21"/>
    </row>
    <row r="184" spans="1:8">
      <c r="A184" s="20"/>
      <c r="B184" s="56" t="s">
        <v>737</v>
      </c>
      <c r="C184" s="57"/>
      <c r="D184" s="21"/>
      <c r="E184" s="21"/>
      <c r="F184" s="21"/>
      <c r="G184" s="21"/>
      <c r="H184" s="21"/>
    </row>
    <row r="185" spans="1:8">
      <c r="A185" s="20"/>
      <c r="B185" s="56"/>
      <c r="C185" s="57"/>
      <c r="D185" s="21"/>
      <c r="E185" s="21"/>
      <c r="F185" s="21"/>
      <c r="G185" s="21"/>
      <c r="H185" s="21"/>
    </row>
    <row r="186" ht="44.25" customHeight="1" spans="1:8">
      <c r="A186" s="20">
        <v>5</v>
      </c>
      <c r="B186" s="52" t="s">
        <v>525</v>
      </c>
      <c r="C186" s="53"/>
      <c r="D186" s="21">
        <v>1</v>
      </c>
      <c r="E186" s="21">
        <v>11850</v>
      </c>
      <c r="F186" s="21">
        <f t="shared" si="22"/>
        <v>11850</v>
      </c>
      <c r="G186" s="21">
        <v>0</v>
      </c>
      <c r="H186" s="21">
        <v>0</v>
      </c>
    </row>
    <row r="187" ht="18.75" customHeight="1" spans="1:8">
      <c r="A187" s="20"/>
      <c r="B187" s="56" t="s">
        <v>738</v>
      </c>
      <c r="C187" s="57"/>
      <c r="D187" s="21"/>
      <c r="E187" s="21"/>
      <c r="F187" s="21"/>
      <c r="G187" s="21"/>
      <c r="H187" s="21"/>
    </row>
    <row r="188" spans="1:8">
      <c r="A188" s="20"/>
      <c r="B188" s="30"/>
      <c r="C188" s="32"/>
      <c r="D188" s="21"/>
      <c r="E188" s="21"/>
      <c r="F188" s="21">
        <f t="shared" si="22"/>
        <v>0</v>
      </c>
      <c r="G188" s="21"/>
      <c r="H188" s="21"/>
    </row>
    <row r="189" ht="42" customHeight="1" spans="1:8">
      <c r="A189" s="20">
        <v>6</v>
      </c>
      <c r="B189" s="52" t="s">
        <v>739</v>
      </c>
      <c r="C189" s="53"/>
      <c r="D189" s="21">
        <v>1</v>
      </c>
      <c r="E189" s="21">
        <v>2120</v>
      </c>
      <c r="F189" s="21">
        <f t="shared" si="22"/>
        <v>2120</v>
      </c>
      <c r="G189" s="21"/>
      <c r="H189" s="21"/>
    </row>
    <row r="190" spans="1:8">
      <c r="A190" s="20"/>
      <c r="B190" s="56" t="s">
        <v>740</v>
      </c>
      <c r="C190" s="57"/>
      <c r="D190" s="21"/>
      <c r="E190" s="21"/>
      <c r="F190" s="21">
        <f t="shared" si="22"/>
        <v>0</v>
      </c>
      <c r="G190" s="21"/>
      <c r="H190" s="21"/>
    </row>
    <row r="191" spans="1:8">
      <c r="A191" s="20"/>
      <c r="B191" s="56"/>
      <c r="C191" s="57"/>
      <c r="D191" s="21"/>
      <c r="E191" s="21"/>
      <c r="F191" s="21"/>
      <c r="G191" s="21"/>
      <c r="H191" s="21"/>
    </row>
    <row r="192" ht="30" customHeight="1" spans="1:8">
      <c r="A192" s="20">
        <v>7</v>
      </c>
      <c r="B192" s="52" t="s">
        <v>741</v>
      </c>
      <c r="C192" s="53"/>
      <c r="D192" s="21">
        <v>1</v>
      </c>
      <c r="E192" s="21">
        <v>74950.56</v>
      </c>
      <c r="F192" s="21">
        <f t="shared" si="22"/>
        <v>74950.56</v>
      </c>
      <c r="G192" s="21"/>
      <c r="H192" s="21"/>
    </row>
    <row r="193" spans="1:8">
      <c r="A193" s="20"/>
      <c r="B193" s="47" t="s">
        <v>742</v>
      </c>
      <c r="C193" s="48"/>
      <c r="D193" s="21"/>
      <c r="E193" s="21"/>
      <c r="F193" s="21">
        <f t="shared" si="22"/>
        <v>0</v>
      </c>
      <c r="G193" s="21"/>
      <c r="H193" s="21"/>
    </row>
    <row r="194" spans="1:8">
      <c r="A194" s="20"/>
      <c r="B194" s="30"/>
      <c r="C194" s="32"/>
      <c r="D194" s="21"/>
      <c r="E194" s="21"/>
      <c r="F194" s="21">
        <f t="shared" si="22"/>
        <v>0</v>
      </c>
      <c r="G194" s="21"/>
      <c r="H194" s="21"/>
    </row>
    <row r="195" spans="1:8">
      <c r="A195" s="20"/>
      <c r="B195" s="30"/>
      <c r="C195" s="32"/>
      <c r="D195" s="21"/>
      <c r="E195" s="21"/>
      <c r="F195" s="21">
        <f t="shared" si="22"/>
        <v>0</v>
      </c>
      <c r="G195" s="21"/>
      <c r="H195" s="21"/>
    </row>
    <row r="196" s="4" customFormat="1" ht="14.25" spans="1:11">
      <c r="A196" s="23"/>
      <c r="B196" s="45" t="s">
        <v>387</v>
      </c>
      <c r="C196" s="46"/>
      <c r="D196" s="24"/>
      <c r="E196" s="24"/>
      <c r="F196" s="24">
        <f>SUM(F173:F195)</f>
        <v>195520.56</v>
      </c>
      <c r="G196" s="24">
        <f t="shared" ref="G196:H196" si="23">SUM(G173:G195)</f>
        <v>120400</v>
      </c>
      <c r="H196" s="24">
        <f t="shared" si="23"/>
        <v>120400</v>
      </c>
      <c r="I196" s="44"/>
      <c r="J196" s="44"/>
      <c r="K196" s="44"/>
    </row>
    <row r="198" s="5" customFormat="1" ht="14.25" spans="1:11">
      <c r="A198" s="5" t="s">
        <v>527</v>
      </c>
      <c r="B198" s="15"/>
      <c r="C198" s="15"/>
      <c r="D198" s="15"/>
      <c r="E198" s="15"/>
      <c r="F198" s="15"/>
      <c r="G198" s="15"/>
      <c r="H198" s="15"/>
      <c r="I198" s="15"/>
      <c r="J198" s="15"/>
      <c r="K198" s="15"/>
    </row>
    <row r="200" ht="24" spans="1:8">
      <c r="A200" s="25" t="s">
        <v>389</v>
      </c>
      <c r="B200" s="27" t="s">
        <v>416</v>
      </c>
      <c r="C200" s="29"/>
      <c r="D200" s="18" t="s">
        <v>462</v>
      </c>
      <c r="E200" s="18" t="s">
        <v>467</v>
      </c>
      <c r="F200" s="18" t="s">
        <v>410</v>
      </c>
      <c r="G200" s="18" t="s">
        <v>411</v>
      </c>
      <c r="H200" s="18" t="s">
        <v>412</v>
      </c>
    </row>
    <row r="201" spans="1:8">
      <c r="A201" s="19">
        <v>1</v>
      </c>
      <c r="B201" s="30">
        <v>2</v>
      </c>
      <c r="C201" s="32"/>
      <c r="D201" s="19">
        <v>3</v>
      </c>
      <c r="E201" s="19">
        <v>4</v>
      </c>
      <c r="F201" s="19">
        <v>5</v>
      </c>
      <c r="G201" s="19">
        <v>6</v>
      </c>
      <c r="H201" s="19">
        <v>7</v>
      </c>
    </row>
    <row r="202" spans="1:8">
      <c r="A202" s="20">
        <v>1</v>
      </c>
      <c r="B202" s="47" t="s">
        <v>743</v>
      </c>
      <c r="C202" s="48"/>
      <c r="D202" s="21">
        <v>10</v>
      </c>
      <c r="E202" s="21">
        <v>8162</v>
      </c>
      <c r="F202" s="21">
        <f>D202*E202</f>
        <v>81620</v>
      </c>
      <c r="G202" s="21">
        <v>100000</v>
      </c>
      <c r="H202" s="21">
        <v>100000</v>
      </c>
    </row>
    <row r="203" spans="1:8">
      <c r="A203" s="20"/>
      <c r="B203" s="47"/>
      <c r="C203" s="48"/>
      <c r="D203" s="21"/>
      <c r="E203" s="21"/>
      <c r="F203" s="21"/>
      <c r="G203" s="21"/>
      <c r="H203" s="21"/>
    </row>
    <row r="204" ht="34.5" customHeight="1" spans="1:8">
      <c r="A204" s="20"/>
      <c r="B204" s="52" t="s">
        <v>744</v>
      </c>
      <c r="C204" s="53"/>
      <c r="D204" s="21"/>
      <c r="E204" s="21"/>
      <c r="F204" s="21"/>
      <c r="G204" s="21"/>
      <c r="H204" s="21"/>
    </row>
    <row r="205" spans="1:8">
      <c r="A205" s="20"/>
      <c r="B205" s="47" t="s">
        <v>745</v>
      </c>
      <c r="C205" s="48"/>
      <c r="D205" s="21">
        <v>2</v>
      </c>
      <c r="E205" s="21">
        <v>9190</v>
      </c>
      <c r="F205" s="21">
        <f>D205*E205</f>
        <v>18380</v>
      </c>
      <c r="G205" s="21"/>
      <c r="H205" s="21"/>
    </row>
    <row r="206" spans="1:8">
      <c r="A206" s="37"/>
      <c r="B206" s="47"/>
      <c r="C206" s="48"/>
      <c r="D206" s="21"/>
      <c r="E206" s="21"/>
      <c r="F206" s="21">
        <f t="shared" ref="F206:F254" si="24">D206*E206</f>
        <v>0</v>
      </c>
      <c r="G206" s="21"/>
      <c r="H206" s="21"/>
    </row>
    <row r="207" spans="1:8">
      <c r="A207" s="20">
        <v>2</v>
      </c>
      <c r="B207" s="47" t="s">
        <v>746</v>
      </c>
      <c r="C207" s="48"/>
      <c r="D207" s="21">
        <v>100</v>
      </c>
      <c r="E207" s="21">
        <v>129</v>
      </c>
      <c r="F207" s="21">
        <f t="shared" si="24"/>
        <v>12900</v>
      </c>
      <c r="G207" s="21">
        <v>15000</v>
      </c>
      <c r="H207" s="21">
        <v>15000</v>
      </c>
    </row>
    <row r="208" ht="29.25" customHeight="1" spans="1:8">
      <c r="A208" s="20"/>
      <c r="B208" s="52" t="s">
        <v>747</v>
      </c>
      <c r="C208" s="53"/>
      <c r="D208" s="21"/>
      <c r="E208" s="21"/>
      <c r="F208" s="21"/>
      <c r="G208" s="21"/>
      <c r="H208" s="21"/>
    </row>
    <row r="209" spans="1:8">
      <c r="A209" s="20"/>
      <c r="B209" s="58" t="s">
        <v>553</v>
      </c>
      <c r="C209" s="48"/>
      <c r="D209" s="21">
        <v>30</v>
      </c>
      <c r="E209" s="21">
        <v>70</v>
      </c>
      <c r="F209" s="21">
        <f t="shared" si="24"/>
        <v>2100</v>
      </c>
      <c r="G209" s="21"/>
      <c r="H209" s="21"/>
    </row>
    <row r="210" spans="1:8">
      <c r="A210" s="37"/>
      <c r="B210" s="47"/>
      <c r="C210" s="48"/>
      <c r="D210" s="21"/>
      <c r="E210" s="21"/>
      <c r="F210" s="21">
        <f t="shared" si="24"/>
        <v>0</v>
      </c>
      <c r="G210" s="21"/>
      <c r="H210" s="21"/>
    </row>
    <row r="211" spans="1:8">
      <c r="A211" s="20">
        <v>3</v>
      </c>
      <c r="B211" s="47" t="s">
        <v>528</v>
      </c>
      <c r="C211" s="48"/>
      <c r="D211" s="21">
        <v>50</v>
      </c>
      <c r="E211" s="21">
        <v>1864.56</v>
      </c>
      <c r="F211" s="21">
        <f t="shared" si="24"/>
        <v>93228</v>
      </c>
      <c r="G211" s="21">
        <v>100000</v>
      </c>
      <c r="H211" s="21">
        <v>100000</v>
      </c>
    </row>
    <row r="212" ht="30.75" customHeight="1" spans="1:14">
      <c r="A212" s="20"/>
      <c r="B212" s="52" t="s">
        <v>748</v>
      </c>
      <c r="C212" s="53"/>
      <c r="D212" s="21"/>
      <c r="E212" s="21"/>
      <c r="F212" s="21"/>
      <c r="G212" s="21"/>
      <c r="H212" s="21"/>
      <c r="N212" s="63"/>
    </row>
    <row r="213" spans="1:8">
      <c r="A213" s="20"/>
      <c r="B213" s="58" t="s">
        <v>749</v>
      </c>
      <c r="C213" s="48"/>
      <c r="D213" s="59">
        <v>1</v>
      </c>
      <c r="E213" s="60">
        <v>1244</v>
      </c>
      <c r="F213" s="21">
        <f t="shared" si="24"/>
        <v>1244</v>
      </c>
      <c r="G213" s="21"/>
      <c r="H213" s="21"/>
    </row>
    <row r="214" spans="1:8">
      <c r="A214" s="20"/>
      <c r="B214" s="58" t="s">
        <v>750</v>
      </c>
      <c r="C214" s="48"/>
      <c r="D214" s="59">
        <v>2</v>
      </c>
      <c r="E214" s="61">
        <v>248</v>
      </c>
      <c r="F214" s="21">
        <f t="shared" si="24"/>
        <v>496</v>
      </c>
      <c r="G214" s="21"/>
      <c r="H214" s="21"/>
    </row>
    <row r="215" spans="1:8">
      <c r="A215" s="20"/>
      <c r="B215" s="58" t="s">
        <v>751</v>
      </c>
      <c r="C215" s="48"/>
      <c r="D215" s="59">
        <v>2</v>
      </c>
      <c r="E215" s="61">
        <v>134</v>
      </c>
      <c r="F215" s="21">
        <f t="shared" si="24"/>
        <v>268</v>
      </c>
      <c r="G215" s="21"/>
      <c r="H215" s="21"/>
    </row>
    <row r="216" ht="30.75" customHeight="1" spans="1:8">
      <c r="A216" s="20"/>
      <c r="B216" s="52" t="s">
        <v>752</v>
      </c>
      <c r="C216" s="53"/>
      <c r="D216" s="59"/>
      <c r="E216" s="61"/>
      <c r="F216" s="21"/>
      <c r="G216" s="21"/>
      <c r="H216" s="21"/>
    </row>
    <row r="217" spans="1:8">
      <c r="A217" s="20"/>
      <c r="B217" s="58" t="s">
        <v>753</v>
      </c>
      <c r="C217" s="48"/>
      <c r="D217" s="59">
        <v>1</v>
      </c>
      <c r="E217" s="61">
        <v>4764</v>
      </c>
      <c r="F217" s="21">
        <f t="shared" si="24"/>
        <v>4764</v>
      </c>
      <c r="G217" s="21"/>
      <c r="H217" s="21"/>
    </row>
    <row r="218" hidden="1" spans="1:8">
      <c r="A218" s="20"/>
      <c r="B218" s="58"/>
      <c r="C218" s="48"/>
      <c r="D218" s="59"/>
      <c r="E218" s="61"/>
      <c r="F218" s="21"/>
      <c r="G218" s="21"/>
      <c r="H218" s="21"/>
    </row>
    <row r="219" hidden="1" spans="1:8">
      <c r="A219" s="20"/>
      <c r="B219" s="58"/>
      <c r="C219" s="48"/>
      <c r="D219" s="59"/>
      <c r="E219" s="61"/>
      <c r="F219" s="21"/>
      <c r="G219" s="21"/>
      <c r="H219" s="21"/>
    </row>
    <row r="220" spans="1:8">
      <c r="A220" s="37"/>
      <c r="B220" s="30"/>
      <c r="C220" s="32"/>
      <c r="D220" s="21"/>
      <c r="E220" s="21"/>
      <c r="F220" s="21">
        <f t="shared" si="24"/>
        <v>0</v>
      </c>
      <c r="G220" s="21"/>
      <c r="H220" s="21"/>
    </row>
    <row r="221" spans="1:8">
      <c r="A221" s="20">
        <v>4</v>
      </c>
      <c r="B221" s="30" t="s">
        <v>529</v>
      </c>
      <c r="C221" s="32"/>
      <c r="D221" s="21">
        <v>50</v>
      </c>
      <c r="E221" s="21">
        <v>654.4</v>
      </c>
      <c r="F221" s="21">
        <f t="shared" si="24"/>
        <v>32720</v>
      </c>
      <c r="G221" s="21">
        <v>35000</v>
      </c>
      <c r="H221" s="21">
        <v>35000</v>
      </c>
    </row>
    <row r="222" ht="29.25" customHeight="1" spans="1:8">
      <c r="A222" s="20"/>
      <c r="B222" s="52" t="s">
        <v>754</v>
      </c>
      <c r="C222" s="53"/>
      <c r="D222" s="21"/>
      <c r="E222" s="21"/>
      <c r="F222" s="21"/>
      <c r="G222" s="21"/>
      <c r="H222" s="21"/>
    </row>
    <row r="223" spans="1:8">
      <c r="A223" s="20"/>
      <c r="B223" s="58" t="s">
        <v>755</v>
      </c>
      <c r="C223" s="32"/>
      <c r="D223" s="21">
        <v>2</v>
      </c>
      <c r="E223" s="21">
        <v>1140</v>
      </c>
      <c r="F223" s="21">
        <f t="shared" si="24"/>
        <v>2280</v>
      </c>
      <c r="G223" s="21"/>
      <c r="H223" s="21"/>
    </row>
    <row r="224" spans="1:8">
      <c r="A224" s="37"/>
      <c r="B224" s="30"/>
      <c r="C224" s="32"/>
      <c r="D224" s="62"/>
      <c r="E224" s="21"/>
      <c r="F224" s="21">
        <f t="shared" si="24"/>
        <v>0</v>
      </c>
      <c r="G224" s="21"/>
      <c r="H224" s="21"/>
    </row>
    <row r="225" spans="1:8">
      <c r="A225" s="20">
        <v>5</v>
      </c>
      <c r="B225" s="30" t="s">
        <v>756</v>
      </c>
      <c r="C225" s="32"/>
      <c r="D225" s="21">
        <v>1</v>
      </c>
      <c r="E225" s="21">
        <v>110801.87</v>
      </c>
      <c r="F225" s="21">
        <f t="shared" si="24"/>
        <v>110801.87</v>
      </c>
      <c r="G225" s="21">
        <v>146857</v>
      </c>
      <c r="H225" s="21">
        <v>146857</v>
      </c>
    </row>
    <row r="226" ht="31.5" customHeight="1" spans="1:8">
      <c r="A226" s="37"/>
      <c r="B226" s="52" t="s">
        <v>757</v>
      </c>
      <c r="C226" s="53"/>
      <c r="D226" s="21"/>
      <c r="E226" s="21"/>
      <c r="F226" s="21">
        <f t="shared" si="24"/>
        <v>0</v>
      </c>
      <c r="G226" s="21"/>
      <c r="H226" s="21"/>
    </row>
    <row r="227" spans="1:8">
      <c r="A227" s="37"/>
      <c r="B227" s="58" t="s">
        <v>541</v>
      </c>
      <c r="C227" s="32"/>
      <c r="D227" s="61">
        <v>152.5</v>
      </c>
      <c r="E227" s="59">
        <v>1</v>
      </c>
      <c r="F227" s="21">
        <f t="shared" si="24"/>
        <v>152.5</v>
      </c>
      <c r="G227" s="21"/>
      <c r="H227" s="21"/>
    </row>
    <row r="228" spans="1:8">
      <c r="A228" s="37"/>
      <c r="B228" s="58" t="s">
        <v>533</v>
      </c>
      <c r="C228" s="32"/>
      <c r="D228" s="61">
        <v>96.99</v>
      </c>
      <c r="E228" s="59">
        <v>3</v>
      </c>
      <c r="F228" s="21">
        <f t="shared" si="24"/>
        <v>290.97</v>
      </c>
      <c r="G228" s="21"/>
      <c r="H228" s="21"/>
    </row>
    <row r="229" spans="1:8">
      <c r="A229" s="37"/>
      <c r="B229" s="58" t="s">
        <v>541</v>
      </c>
      <c r="C229" s="32"/>
      <c r="D229" s="61">
        <v>212</v>
      </c>
      <c r="E229" s="59">
        <v>25</v>
      </c>
      <c r="F229" s="21">
        <f t="shared" si="24"/>
        <v>5300</v>
      </c>
      <c r="G229" s="21"/>
      <c r="H229" s="21"/>
    </row>
    <row r="230" ht="22.5" spans="1:12">
      <c r="A230" s="37"/>
      <c r="B230" s="58" t="s">
        <v>758</v>
      </c>
      <c r="C230" s="32"/>
      <c r="D230" s="61">
        <v>19.7</v>
      </c>
      <c r="E230" s="59">
        <v>2</v>
      </c>
      <c r="F230" s="21">
        <f t="shared" si="24"/>
        <v>39.4</v>
      </c>
      <c r="G230" s="21"/>
      <c r="H230" s="21"/>
      <c r="L230" s="63"/>
    </row>
    <row r="231" spans="1:8">
      <c r="A231" s="37"/>
      <c r="B231" s="58" t="s">
        <v>759</v>
      </c>
      <c r="C231" s="32"/>
      <c r="D231" s="61">
        <v>34.44</v>
      </c>
      <c r="E231" s="59">
        <v>20</v>
      </c>
      <c r="F231" s="21">
        <f t="shared" si="24"/>
        <v>688.8</v>
      </c>
      <c r="G231" s="21"/>
      <c r="H231" s="21"/>
    </row>
    <row r="232" spans="1:8">
      <c r="A232" s="37"/>
      <c r="B232" s="58" t="s">
        <v>760</v>
      </c>
      <c r="C232" s="32"/>
      <c r="D232" s="61">
        <v>4.99</v>
      </c>
      <c r="E232" s="59">
        <v>20</v>
      </c>
      <c r="F232" s="21">
        <f t="shared" si="24"/>
        <v>99.8</v>
      </c>
      <c r="G232" s="21"/>
      <c r="H232" s="21"/>
    </row>
    <row r="233" spans="1:8">
      <c r="A233" s="37"/>
      <c r="B233" s="58" t="s">
        <v>761</v>
      </c>
      <c r="C233" s="32"/>
      <c r="D233" s="61">
        <v>29.4</v>
      </c>
      <c r="E233" s="59">
        <v>20</v>
      </c>
      <c r="F233" s="21">
        <f t="shared" si="24"/>
        <v>588</v>
      </c>
      <c r="G233" s="21"/>
      <c r="H233" s="21"/>
    </row>
    <row r="234" spans="1:8">
      <c r="A234" s="37"/>
      <c r="B234" s="58" t="s">
        <v>762</v>
      </c>
      <c r="C234" s="32"/>
      <c r="D234" s="61">
        <v>473.51</v>
      </c>
      <c r="E234" s="59">
        <v>1</v>
      </c>
      <c r="F234" s="21">
        <f t="shared" si="24"/>
        <v>473.51</v>
      </c>
      <c r="G234" s="21"/>
      <c r="H234" s="21"/>
    </row>
    <row r="235" spans="1:8">
      <c r="A235" s="20"/>
      <c r="B235" s="58" t="s">
        <v>763</v>
      </c>
      <c r="C235" s="57"/>
      <c r="D235" s="61">
        <v>18.42</v>
      </c>
      <c r="E235" s="59">
        <v>10</v>
      </c>
      <c r="F235" s="21">
        <f t="shared" si="24"/>
        <v>184.2</v>
      </c>
      <c r="G235" s="21"/>
      <c r="H235" s="21"/>
    </row>
    <row r="236" spans="1:13">
      <c r="A236" s="20"/>
      <c r="B236" s="58" t="s">
        <v>763</v>
      </c>
      <c r="C236" s="57"/>
      <c r="D236" s="61">
        <v>52.92</v>
      </c>
      <c r="E236" s="59">
        <v>5</v>
      </c>
      <c r="F236" s="21">
        <f t="shared" si="24"/>
        <v>264.6</v>
      </c>
      <c r="G236" s="21"/>
      <c r="H236" s="21"/>
      <c r="M236" s="63"/>
    </row>
    <row r="237" spans="1:8">
      <c r="A237" s="20"/>
      <c r="B237" s="58" t="s">
        <v>764</v>
      </c>
      <c r="C237" s="57"/>
      <c r="D237" s="61">
        <v>84.87</v>
      </c>
      <c r="E237" s="59">
        <v>2</v>
      </c>
      <c r="F237" s="21">
        <f t="shared" si="24"/>
        <v>169.74</v>
      </c>
      <c r="G237" s="21"/>
      <c r="H237" s="21"/>
    </row>
    <row r="238" ht="29.25" customHeight="1" spans="1:8">
      <c r="A238" s="20">
        <v>6</v>
      </c>
      <c r="B238" s="52" t="s">
        <v>765</v>
      </c>
      <c r="C238" s="53"/>
      <c r="D238" s="61"/>
      <c r="E238" s="59"/>
      <c r="F238" s="21"/>
      <c r="G238" s="21"/>
      <c r="H238" s="21"/>
    </row>
    <row r="239" spans="1:8">
      <c r="A239" s="20"/>
      <c r="B239" s="58" t="s">
        <v>535</v>
      </c>
      <c r="C239" s="57"/>
      <c r="D239" s="59">
        <v>120</v>
      </c>
      <c r="E239" s="61">
        <v>22.28</v>
      </c>
      <c r="F239" s="21">
        <f t="shared" si="24"/>
        <v>2673.6</v>
      </c>
      <c r="G239" s="21"/>
      <c r="H239" s="21"/>
    </row>
    <row r="240" spans="1:8">
      <c r="A240" s="20"/>
      <c r="B240" s="58" t="s">
        <v>537</v>
      </c>
      <c r="C240" s="57"/>
      <c r="D240" s="59">
        <v>48</v>
      </c>
      <c r="E240" s="61">
        <v>37.93</v>
      </c>
      <c r="F240" s="21">
        <f t="shared" si="24"/>
        <v>1820.64</v>
      </c>
      <c r="G240" s="21"/>
      <c r="H240" s="21"/>
    </row>
    <row r="241" ht="22.5" spans="1:8">
      <c r="A241" s="20"/>
      <c r="B241" s="58" t="s">
        <v>538</v>
      </c>
      <c r="C241" s="57"/>
      <c r="D241" s="59">
        <v>60</v>
      </c>
      <c r="E241" s="61">
        <v>48.98</v>
      </c>
      <c r="F241" s="21">
        <f t="shared" si="24"/>
        <v>2938.8</v>
      </c>
      <c r="G241" s="21"/>
      <c r="H241" s="21"/>
    </row>
    <row r="242" ht="30" customHeight="1" spans="1:8">
      <c r="A242" s="20">
        <v>7</v>
      </c>
      <c r="B242" s="52" t="s">
        <v>766</v>
      </c>
      <c r="C242" s="53"/>
      <c r="D242" s="59"/>
      <c r="E242" s="61"/>
      <c r="F242" s="21"/>
      <c r="G242" s="21"/>
      <c r="H242" s="21"/>
    </row>
    <row r="243" spans="1:11">
      <c r="A243" s="20"/>
      <c r="B243" s="58" t="s">
        <v>767</v>
      </c>
      <c r="C243" s="57"/>
      <c r="D243" s="59">
        <v>2</v>
      </c>
      <c r="E243" s="61">
        <v>630</v>
      </c>
      <c r="F243" s="21">
        <f t="shared" si="24"/>
        <v>1260</v>
      </c>
      <c r="G243" s="21"/>
      <c r="H243" s="21"/>
      <c r="K243" s="64"/>
    </row>
    <row r="244" spans="1:8">
      <c r="A244" s="20"/>
      <c r="B244" s="58" t="s">
        <v>767</v>
      </c>
      <c r="C244" s="57"/>
      <c r="D244" s="59">
        <v>2</v>
      </c>
      <c r="E244" s="60">
        <v>3900</v>
      </c>
      <c r="F244" s="21">
        <f t="shared" si="24"/>
        <v>7800</v>
      </c>
      <c r="G244" s="21"/>
      <c r="H244" s="21"/>
    </row>
    <row r="245" spans="1:8">
      <c r="A245" s="20"/>
      <c r="B245" s="58" t="s">
        <v>768</v>
      </c>
      <c r="C245" s="57"/>
      <c r="D245" s="59">
        <v>1</v>
      </c>
      <c r="E245" s="61">
        <v>110.57</v>
      </c>
      <c r="F245" s="21">
        <f t="shared" si="24"/>
        <v>110.57</v>
      </c>
      <c r="G245" s="21"/>
      <c r="H245" s="21"/>
    </row>
    <row r="246" ht="29.25" customHeight="1" spans="1:8">
      <c r="A246" s="20">
        <v>8</v>
      </c>
      <c r="B246" s="52" t="s">
        <v>769</v>
      </c>
      <c r="C246" s="53"/>
      <c r="D246" s="59"/>
      <c r="E246" s="61"/>
      <c r="F246" s="21"/>
      <c r="G246" s="21"/>
      <c r="H246" s="21"/>
    </row>
    <row r="247" spans="1:8">
      <c r="A247" s="20"/>
      <c r="B247" s="58" t="s">
        <v>549</v>
      </c>
      <c r="C247" s="57"/>
      <c r="D247" s="59">
        <v>16</v>
      </c>
      <c r="E247" s="61">
        <v>700</v>
      </c>
      <c r="F247" s="21">
        <f t="shared" si="24"/>
        <v>11200</v>
      </c>
      <c r="G247" s="21"/>
      <c r="H247" s="21"/>
    </row>
    <row r="248" spans="1:8">
      <c r="A248" s="20"/>
      <c r="B248" s="58"/>
      <c r="C248" s="57"/>
      <c r="D248" s="59"/>
      <c r="E248" s="61"/>
      <c r="F248" s="21"/>
      <c r="G248" s="21"/>
      <c r="H248" s="21"/>
    </row>
    <row r="249" hidden="1" spans="1:8">
      <c r="A249" s="20"/>
      <c r="B249" s="58"/>
      <c r="C249" s="57"/>
      <c r="D249" s="59"/>
      <c r="E249" s="61"/>
      <c r="F249" s="21"/>
      <c r="G249" s="21"/>
      <c r="H249" s="21"/>
    </row>
    <row r="250" hidden="1" spans="1:8">
      <c r="A250" s="20"/>
      <c r="B250" s="58"/>
      <c r="C250" s="57"/>
      <c r="D250" s="59"/>
      <c r="E250" s="61"/>
      <c r="F250" s="21"/>
      <c r="G250" s="21"/>
      <c r="H250" s="21"/>
    </row>
    <row r="251" hidden="1" spans="1:8">
      <c r="A251" s="20"/>
      <c r="B251" s="58"/>
      <c r="C251" s="57"/>
      <c r="D251" s="61"/>
      <c r="E251" s="59"/>
      <c r="F251" s="21"/>
      <c r="G251" s="21"/>
      <c r="H251" s="21"/>
    </row>
    <row r="252" hidden="1" spans="1:8">
      <c r="A252" s="20"/>
      <c r="B252" s="58"/>
      <c r="C252" s="57"/>
      <c r="D252" s="61"/>
      <c r="E252" s="59"/>
      <c r="F252" s="21"/>
      <c r="G252" s="21"/>
      <c r="H252" s="21"/>
    </row>
    <row r="253" hidden="1" spans="1:8">
      <c r="A253" s="20"/>
      <c r="B253" s="58"/>
      <c r="C253" s="57"/>
      <c r="D253" s="61"/>
      <c r="E253" s="59"/>
      <c r="F253" s="21"/>
      <c r="G253" s="21"/>
      <c r="H253" s="21"/>
    </row>
    <row r="254" spans="1:8">
      <c r="A254" s="20"/>
      <c r="B254" s="56"/>
      <c r="C254" s="57"/>
      <c r="D254" s="21"/>
      <c r="E254" s="21"/>
      <c r="F254" s="21">
        <f t="shared" si="24"/>
        <v>0</v>
      </c>
      <c r="G254" s="21"/>
      <c r="H254" s="21"/>
    </row>
    <row r="255" s="4" customFormat="1" ht="14.25" spans="1:11">
      <c r="A255" s="23"/>
      <c r="B255" s="45" t="s">
        <v>387</v>
      </c>
      <c r="C255" s="46"/>
      <c r="D255" s="24"/>
      <c r="E255" s="24"/>
      <c r="F255" s="24">
        <f>SUM(F202:F254)</f>
        <v>396857</v>
      </c>
      <c r="G255" s="24">
        <f t="shared" ref="G255:H255" si="25">SUM(G202:G254)</f>
        <v>396857</v>
      </c>
      <c r="H255" s="24">
        <f t="shared" si="25"/>
        <v>396857</v>
      </c>
      <c r="I255" s="44"/>
      <c r="J255" s="44"/>
      <c r="K255" s="44"/>
    </row>
    <row r="256" ht="15.75"/>
    <row r="257" ht="15.75" spans="1:8">
      <c r="A257" s="65"/>
      <c r="B257" s="66" t="s">
        <v>554</v>
      </c>
      <c r="C257" s="67"/>
      <c r="D257" s="67"/>
      <c r="E257" s="68"/>
      <c r="F257" s="69">
        <f>F255+F196+F167+F140+G128+F116+G104+F91+F79+F67+F55+F42+I30</f>
        <v>2915280</v>
      </c>
      <c r="G257" s="69">
        <f>G255+G196+G167+G140+H128+G116+H104+G91+G79+G67+G55+G42+J30</f>
        <v>2904880</v>
      </c>
      <c r="H257" s="69">
        <f>H255+H196+H167+H140+I128+H116+I104+H91+H79+H67+H55+H42+K30</f>
        <v>2904880</v>
      </c>
    </row>
    <row r="260" s="6" customFormat="1" ht="20.25" customHeight="1" spans="1:21">
      <c r="A260" s="6" t="s">
        <v>267</v>
      </c>
      <c r="D260" s="70" t="str">
        <f>закупки!AQ30</f>
        <v>Заведующий</v>
      </c>
      <c r="E260" s="71"/>
      <c r="F260" s="70"/>
      <c r="G260" s="71"/>
      <c r="H260" s="70" t="str">
        <f>закупки!BY30</f>
        <v>Измайлова Н.В.</v>
      </c>
      <c r="I260" s="70"/>
      <c r="J260" s="71"/>
      <c r="K260" s="71"/>
      <c r="L260" s="71"/>
      <c r="M260" s="71"/>
      <c r="N260" s="71"/>
      <c r="O260" s="71"/>
      <c r="P260" s="71"/>
      <c r="Q260" s="71"/>
      <c r="R260" s="71"/>
      <c r="S260" s="71"/>
      <c r="T260" s="71"/>
      <c r="U260" s="77"/>
    </row>
    <row r="261" s="6" customFormat="1" ht="20.25" customHeight="1" spans="1:21">
      <c r="A261" s="6" t="s">
        <v>268</v>
      </c>
      <c r="D261" s="72" t="s">
        <v>555</v>
      </c>
      <c r="E261" s="73"/>
      <c r="F261" s="72" t="s">
        <v>556</v>
      </c>
      <c r="G261" s="73"/>
      <c r="H261" s="74" t="s">
        <v>557</v>
      </c>
      <c r="I261" s="74"/>
      <c r="J261" s="73"/>
      <c r="K261" s="73"/>
      <c r="L261" s="73"/>
      <c r="M261" s="73"/>
      <c r="N261" s="73"/>
      <c r="O261" s="73"/>
      <c r="P261" s="73"/>
      <c r="Q261" s="73"/>
      <c r="R261" s="73"/>
      <c r="S261" s="73"/>
      <c r="T261" s="73"/>
      <c r="U261" s="77"/>
    </row>
    <row r="262" s="6" customFormat="1" spans="1:1">
      <c r="A262" s="75"/>
    </row>
    <row r="263" s="6" customFormat="1" spans="1:8">
      <c r="A263" s="75" t="s">
        <v>271</v>
      </c>
      <c r="B263" s="75"/>
      <c r="C263" s="70" t="str">
        <f>закупки!AM33</f>
        <v>Гл.бухгалтер</v>
      </c>
      <c r="D263" s="71"/>
      <c r="E263" s="70" t="str">
        <f>закупки!BG33</f>
        <v>Родионова Н.А.</v>
      </c>
      <c r="F263" s="71"/>
      <c r="G263" s="76" t="str">
        <f>закупки!CA33</f>
        <v>31-55-99</v>
      </c>
      <c r="H263" s="70"/>
    </row>
    <row r="264" s="6" customFormat="1" spans="3:8">
      <c r="C264" s="72" t="s">
        <v>558</v>
      </c>
      <c r="D264" s="73"/>
      <c r="E264" s="74" t="s">
        <v>275</v>
      </c>
      <c r="F264" s="73"/>
      <c r="G264" s="74" t="s">
        <v>276</v>
      </c>
      <c r="H264" s="74"/>
    </row>
    <row r="265" s="6" customFormat="1"/>
    <row r="266" s="6" customFormat="1"/>
    <row r="267" s="6" customFormat="1"/>
    <row r="268" s="6" customFormat="1"/>
    <row r="269" s="6" customFormat="1" customHeight="1" spans="1:5">
      <c r="A269" s="75" t="s">
        <v>559</v>
      </c>
      <c r="B269" s="75"/>
      <c r="C269" s="75"/>
      <c r="D269" s="75"/>
      <c r="E269" s="75"/>
    </row>
  </sheetData>
  <mergeCells count="148">
    <mergeCell ref="J1:K1"/>
    <mergeCell ref="I2:K2"/>
    <mergeCell ref="A3:K3"/>
    <mergeCell ref="A6:K6"/>
    <mergeCell ref="A8:B8"/>
    <mergeCell ref="A10:C10"/>
    <mergeCell ref="D15:G15"/>
    <mergeCell ref="A44:H44"/>
    <mergeCell ref="B46:D46"/>
    <mergeCell ref="B47:D47"/>
    <mergeCell ref="B48:D48"/>
    <mergeCell ref="B49:D49"/>
    <mergeCell ref="B50:D50"/>
    <mergeCell ref="B51:D51"/>
    <mergeCell ref="B52:D52"/>
    <mergeCell ref="B53:D53"/>
    <mergeCell ref="B54:D54"/>
    <mergeCell ref="B55:D55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A81:H81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6:C96"/>
    <mergeCell ref="B97:C97"/>
    <mergeCell ref="B98:C98"/>
    <mergeCell ref="B99:C99"/>
    <mergeCell ref="B102:C102"/>
    <mergeCell ref="B103:C103"/>
    <mergeCell ref="B104:C104"/>
    <mergeCell ref="B108:C108"/>
    <mergeCell ref="B109:C109"/>
    <mergeCell ref="B110:C110"/>
    <mergeCell ref="B111:C111"/>
    <mergeCell ref="B112:C112"/>
    <mergeCell ref="B113:C113"/>
    <mergeCell ref="B114:C114"/>
    <mergeCell ref="B115:C115"/>
    <mergeCell ref="B116:C116"/>
    <mergeCell ref="B120:C120"/>
    <mergeCell ref="B121:C121"/>
    <mergeCell ref="B122:C122"/>
    <mergeCell ref="B124:C124"/>
    <mergeCell ref="B125:C125"/>
    <mergeCell ref="B126:C126"/>
    <mergeCell ref="B127:C127"/>
    <mergeCell ref="B128:C128"/>
    <mergeCell ref="B132:C132"/>
    <mergeCell ref="B133:C133"/>
    <mergeCell ref="B134:C134"/>
    <mergeCell ref="B135:C135"/>
    <mergeCell ref="B136:C136"/>
    <mergeCell ref="B137:C137"/>
    <mergeCell ref="B138:C138"/>
    <mergeCell ref="B139:C139"/>
    <mergeCell ref="B140:C140"/>
    <mergeCell ref="B144:C144"/>
    <mergeCell ref="B145:C145"/>
    <mergeCell ref="B146:C146"/>
    <mergeCell ref="B147:C147"/>
    <mergeCell ref="B148:C148"/>
    <mergeCell ref="B149:C149"/>
    <mergeCell ref="B151:C151"/>
    <mergeCell ref="B152:C152"/>
    <mergeCell ref="B153:C153"/>
    <mergeCell ref="B154:C154"/>
    <mergeCell ref="B156:C156"/>
    <mergeCell ref="B157:C157"/>
    <mergeCell ref="B158:C158"/>
    <mergeCell ref="B163:C163"/>
    <mergeCell ref="B164:C164"/>
    <mergeCell ref="B165:C165"/>
    <mergeCell ref="B166:C166"/>
    <mergeCell ref="B167:C167"/>
    <mergeCell ref="B171:C171"/>
    <mergeCell ref="B172:C172"/>
    <mergeCell ref="B173:C173"/>
    <mergeCell ref="B174:C174"/>
    <mergeCell ref="B175:C175"/>
    <mergeCell ref="B176:C176"/>
    <mergeCell ref="B177:C177"/>
    <mergeCell ref="B179:C179"/>
    <mergeCell ref="B180:C180"/>
    <mergeCell ref="B182:C182"/>
    <mergeCell ref="B183:C183"/>
    <mergeCell ref="B184:C184"/>
    <mergeCell ref="B186:C186"/>
    <mergeCell ref="B187:C187"/>
    <mergeCell ref="B189:C189"/>
    <mergeCell ref="B190:C190"/>
    <mergeCell ref="B192:C192"/>
    <mergeCell ref="B193:C193"/>
    <mergeCell ref="B194:C194"/>
    <mergeCell ref="B195:C195"/>
    <mergeCell ref="B196:C196"/>
    <mergeCell ref="B200:C200"/>
    <mergeCell ref="B201:C201"/>
    <mergeCell ref="B202:C202"/>
    <mergeCell ref="B204:C204"/>
    <mergeCell ref="B206:C206"/>
    <mergeCell ref="B207:C207"/>
    <mergeCell ref="B208:C208"/>
    <mergeCell ref="B211:C211"/>
    <mergeCell ref="B212:C212"/>
    <mergeCell ref="B216:C216"/>
    <mergeCell ref="B222:C222"/>
    <mergeCell ref="B226:C226"/>
    <mergeCell ref="B238:C238"/>
    <mergeCell ref="B242:C242"/>
    <mergeCell ref="B246:C246"/>
    <mergeCell ref="B255:C255"/>
    <mergeCell ref="B257:E257"/>
    <mergeCell ref="A260:C260"/>
    <mergeCell ref="A261:C261"/>
    <mergeCell ref="A263:B263"/>
    <mergeCell ref="G264:H264"/>
    <mergeCell ref="A269:E269"/>
    <mergeCell ref="A15:A17"/>
    <mergeCell ref="B15:B17"/>
    <mergeCell ref="C15:C17"/>
    <mergeCell ref="D16:D17"/>
    <mergeCell ref="H15:H17"/>
    <mergeCell ref="I15:I17"/>
    <mergeCell ref="J15:J17"/>
    <mergeCell ref="K15:K17"/>
  </mergeCells>
  <pageMargins left="0.3325" right="0.3028125" top="0.75" bottom="0.75" header="0.3" footer="0.3"/>
  <pageSetup paperSize="9" scale="62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C00000"/>
  </sheetPr>
  <dimension ref="A1:BS311"/>
  <sheetViews>
    <sheetView topLeftCell="A42" workbookViewId="0">
      <selection activeCell="K288" sqref="K288"/>
    </sheetView>
  </sheetViews>
  <sheetFormatPr defaultColWidth="9.14285714285714" defaultRowHeight="15"/>
  <cols>
    <col min="1" max="1" width="9.14285714285714" style="327"/>
    <col min="2" max="9" width="9.14285714285714" style="7"/>
    <col min="10" max="10" width="14.7142857142857" style="7" customWidth="1"/>
    <col min="11" max="14" width="11.8571428571429" style="7" customWidth="1"/>
    <col min="15" max="15" width="12.2857142857143" style="329" customWidth="1"/>
    <col min="16" max="16" width="11.1428571428571" style="329" customWidth="1"/>
    <col min="17" max="17" width="12.2857142857143" style="329" customWidth="1"/>
    <col min="18" max="18" width="11.1428571428571" style="327" customWidth="1"/>
    <col min="19" max="71" width="9.14285714285714" style="327"/>
    <col min="72" max="16384" width="9.14285714285714" style="7"/>
  </cols>
  <sheetData>
    <row r="1" spans="11:71">
      <c r="K1" s="386" t="s">
        <v>0</v>
      </c>
      <c r="L1" s="386"/>
      <c r="M1" s="386"/>
      <c r="N1" s="386"/>
      <c r="P1" s="387"/>
      <c r="Q1" s="387"/>
      <c r="R1" s="387"/>
      <c r="S1" s="387"/>
      <c r="T1" s="387"/>
      <c r="U1" s="387"/>
      <c r="V1" s="387"/>
      <c r="W1" s="387"/>
      <c r="X1" s="387"/>
      <c r="Y1" s="387"/>
      <c r="Z1" s="387"/>
      <c r="AA1" s="387"/>
      <c r="AB1" s="387"/>
      <c r="AC1" s="387"/>
      <c r="AD1" s="387"/>
      <c r="AE1" s="387"/>
      <c r="AF1" s="387"/>
      <c r="AG1" s="387"/>
      <c r="AH1" s="387"/>
      <c r="AI1" s="387"/>
      <c r="AJ1" s="387"/>
      <c r="AK1" s="387"/>
      <c r="AL1" s="387"/>
      <c r="AM1" s="387"/>
      <c r="AN1" s="387"/>
      <c r="AO1" s="387"/>
      <c r="AP1" s="387"/>
      <c r="AQ1" s="387"/>
      <c r="AR1" s="387"/>
      <c r="AS1" s="387"/>
      <c r="AT1" s="387"/>
      <c r="AU1" s="387"/>
      <c r="AV1" s="387"/>
      <c r="AW1" s="387"/>
      <c r="AX1" s="387"/>
      <c r="AY1" s="387"/>
      <c r="AZ1" s="387"/>
      <c r="BA1" s="387"/>
      <c r="BB1" s="387"/>
      <c r="BC1" s="387"/>
      <c r="BD1" s="387"/>
      <c r="BE1" s="387"/>
      <c r="BF1" s="387"/>
      <c r="BG1" s="387"/>
      <c r="BH1" s="387"/>
      <c r="BI1" s="387"/>
      <c r="BJ1" s="387"/>
      <c r="BK1" s="387"/>
      <c r="BL1" s="387"/>
      <c r="BM1" s="387"/>
      <c r="BN1" s="387"/>
      <c r="BO1" s="387"/>
      <c r="BP1" s="387"/>
      <c r="BQ1" s="387"/>
      <c r="BR1" s="387"/>
      <c r="BS1" s="387"/>
    </row>
    <row r="2" ht="60" customHeight="1" spans="11:71">
      <c r="K2" s="388" t="s">
        <v>1</v>
      </c>
      <c r="L2" s="388"/>
      <c r="M2" s="388"/>
      <c r="N2" s="388"/>
      <c r="O2" s="389"/>
      <c r="P2" s="390"/>
      <c r="Q2" s="390"/>
      <c r="R2" s="390"/>
      <c r="S2" s="390"/>
      <c r="T2" s="390"/>
      <c r="U2" s="390"/>
      <c r="V2" s="390"/>
      <c r="W2" s="390"/>
      <c r="X2" s="390"/>
      <c r="Y2" s="390"/>
      <c r="Z2" s="390"/>
      <c r="AA2" s="390"/>
      <c r="AB2" s="390"/>
      <c r="AC2" s="390"/>
      <c r="AD2" s="390"/>
      <c r="AE2" s="390"/>
      <c r="AF2" s="390"/>
      <c r="AG2" s="390"/>
      <c r="AH2" s="390"/>
      <c r="AI2" s="390"/>
      <c r="AJ2" s="390"/>
      <c r="AK2" s="390"/>
      <c r="AL2" s="390"/>
      <c r="AM2" s="390"/>
      <c r="AN2" s="390"/>
      <c r="AO2" s="390"/>
      <c r="AP2" s="390"/>
      <c r="AQ2" s="390"/>
      <c r="AR2" s="390"/>
      <c r="AS2" s="390"/>
      <c r="AT2" s="390"/>
      <c r="AU2" s="390"/>
      <c r="AV2" s="390"/>
      <c r="AW2" s="390"/>
      <c r="AX2" s="390"/>
      <c r="AY2" s="390"/>
      <c r="AZ2" s="390"/>
      <c r="BA2" s="390"/>
      <c r="BB2" s="390"/>
      <c r="BC2" s="390"/>
      <c r="BD2" s="390"/>
      <c r="BE2" s="390"/>
      <c r="BF2" s="390"/>
      <c r="BG2" s="390"/>
      <c r="BH2" s="390"/>
      <c r="BI2" s="390"/>
      <c r="BJ2" s="390"/>
      <c r="BK2" s="390"/>
      <c r="BL2" s="390"/>
      <c r="BM2" s="390"/>
      <c r="BN2" s="390"/>
      <c r="BO2" s="390"/>
      <c r="BP2" s="390"/>
      <c r="BQ2" s="390"/>
      <c r="BR2" s="390"/>
      <c r="BS2" s="390"/>
    </row>
    <row r="4" spans="11:14">
      <c r="K4" s="391" t="s">
        <v>2</v>
      </c>
      <c r="L4" s="391"/>
      <c r="M4" s="391"/>
      <c r="N4" s="391"/>
    </row>
    <row r="5" spans="11:14">
      <c r="K5" s="391" t="s">
        <v>168</v>
      </c>
      <c r="L5" s="391"/>
      <c r="M5" s="391"/>
      <c r="N5" s="391"/>
    </row>
    <row r="6" spans="11:14">
      <c r="K6" s="392" t="s">
        <v>3</v>
      </c>
      <c r="L6" s="392"/>
      <c r="M6" s="392"/>
      <c r="N6" s="392"/>
    </row>
    <row r="7" ht="37.5" customHeight="1" spans="11:14">
      <c r="K7" s="393" t="s">
        <v>169</v>
      </c>
      <c r="L7" s="394"/>
      <c r="M7" s="394"/>
      <c r="N7" s="394"/>
    </row>
    <row r="8" spans="11:14">
      <c r="K8" s="392" t="s">
        <v>4</v>
      </c>
      <c r="L8" s="392"/>
      <c r="M8" s="392"/>
      <c r="N8" s="392"/>
    </row>
    <row r="9" spans="11:14">
      <c r="K9" s="395" t="s">
        <v>170</v>
      </c>
      <c r="L9" s="395"/>
      <c r="M9" s="395"/>
      <c r="N9" s="395"/>
    </row>
    <row r="10" ht="8.25" customHeight="1" spans="11:14">
      <c r="K10" s="392" t="s">
        <v>5</v>
      </c>
      <c r="L10" s="392"/>
      <c r="M10" s="396" t="s">
        <v>6</v>
      </c>
      <c r="N10" s="396"/>
    </row>
    <row r="11" spans="11:14">
      <c r="K11" s="397" t="s">
        <v>171</v>
      </c>
      <c r="L11" s="397"/>
      <c r="M11" s="397"/>
      <c r="N11" s="397"/>
    </row>
    <row r="12" ht="15.75"/>
    <row r="13" ht="12" customHeight="1" spans="12:14">
      <c r="L13" s="398"/>
      <c r="M13" s="398"/>
      <c r="N13" s="399" t="s">
        <v>7</v>
      </c>
    </row>
    <row r="14" ht="12" customHeight="1" spans="12:14">
      <c r="L14" s="400"/>
      <c r="M14" s="400"/>
      <c r="N14" s="401"/>
    </row>
    <row r="15" customHeight="1" spans="4:14">
      <c r="D15" s="330" t="s">
        <v>8</v>
      </c>
      <c r="E15" s="330"/>
      <c r="F15" s="330"/>
      <c r="G15" s="330"/>
      <c r="H15" s="330"/>
      <c r="I15" s="330"/>
      <c r="J15" s="330"/>
      <c r="L15" s="400"/>
      <c r="M15" s="402" t="s">
        <v>9</v>
      </c>
      <c r="N15" s="403" t="s">
        <v>172</v>
      </c>
    </row>
    <row r="16" customHeight="1" spans="4:14">
      <c r="D16" s="330" t="s">
        <v>10</v>
      </c>
      <c r="E16" s="330"/>
      <c r="F16" s="330"/>
      <c r="G16" s="330"/>
      <c r="H16" s="330"/>
      <c r="I16" s="330"/>
      <c r="J16" s="330"/>
      <c r="L16" s="400"/>
      <c r="M16" s="402" t="s">
        <v>11</v>
      </c>
      <c r="N16" s="404"/>
    </row>
    <row r="17" customHeight="1" spans="4:14">
      <c r="D17" s="330" t="s">
        <v>173</v>
      </c>
      <c r="E17" s="330"/>
      <c r="F17" s="330"/>
      <c r="G17" s="330"/>
      <c r="H17" s="330"/>
      <c r="I17" s="330"/>
      <c r="J17" s="330"/>
      <c r="L17" s="400"/>
      <c r="M17" s="402" t="s">
        <v>12</v>
      </c>
      <c r="N17" s="404" t="s">
        <v>13</v>
      </c>
    </row>
    <row r="18" ht="12" customHeight="1" spans="2:14">
      <c r="B18" s="11" t="s">
        <v>14</v>
      </c>
      <c r="C18" s="11"/>
      <c r="D18" s="11"/>
      <c r="E18" s="11"/>
      <c r="L18" s="400"/>
      <c r="M18" s="402" t="s">
        <v>11</v>
      </c>
      <c r="N18" s="404"/>
    </row>
    <row r="19" ht="12" customHeight="1" spans="2:14">
      <c r="B19" s="11" t="s">
        <v>15</v>
      </c>
      <c r="C19" s="11"/>
      <c r="D19" s="11"/>
      <c r="E19" s="11"/>
      <c r="F19" s="331" t="s">
        <v>16</v>
      </c>
      <c r="G19" s="331"/>
      <c r="H19" s="331"/>
      <c r="I19" s="331"/>
      <c r="L19" s="400"/>
      <c r="M19" s="402" t="s">
        <v>17</v>
      </c>
      <c r="N19" s="405" t="s">
        <v>174</v>
      </c>
    </row>
    <row r="20" ht="29.25" customHeight="1" spans="2:14">
      <c r="B20" s="7" t="s">
        <v>18</v>
      </c>
      <c r="D20" s="332" t="str">
        <f>K7</f>
        <v>МАДОУ Центр развития ребенка - детский сад № 150 города Пензы "Алый парус"</v>
      </c>
      <c r="E20" s="332"/>
      <c r="F20" s="332"/>
      <c r="G20" s="332"/>
      <c r="H20" s="332"/>
      <c r="I20" s="332"/>
      <c r="J20" s="332"/>
      <c r="K20" s="332"/>
      <c r="L20" s="332"/>
      <c r="M20" s="402" t="s">
        <v>19</v>
      </c>
      <c r="N20" s="405" t="s">
        <v>175</v>
      </c>
    </row>
    <row r="21" ht="12" customHeight="1" spans="2:14">
      <c r="B21" s="7" t="s">
        <v>20</v>
      </c>
      <c r="L21" s="400"/>
      <c r="M21" s="402" t="s">
        <v>21</v>
      </c>
      <c r="N21" s="406" t="s">
        <v>22</v>
      </c>
    </row>
    <row r="22" spans="5:8">
      <c r="E22" s="5" t="s">
        <v>23</v>
      </c>
      <c r="F22" s="5"/>
      <c r="G22" s="5"/>
      <c r="H22" s="5"/>
    </row>
    <row r="23" ht="15.75"/>
    <row r="24" spans="2:14">
      <c r="B24" s="333" t="s">
        <v>24</v>
      </c>
      <c r="C24" s="334"/>
      <c r="D24" s="334"/>
      <c r="E24" s="334"/>
      <c r="F24" s="334"/>
      <c r="G24" s="334"/>
      <c r="H24" s="335" t="s">
        <v>25</v>
      </c>
      <c r="I24" s="335" t="s">
        <v>26</v>
      </c>
      <c r="J24" s="407" t="s">
        <v>27</v>
      </c>
      <c r="K24" s="408" t="s">
        <v>28</v>
      </c>
      <c r="L24" s="408"/>
      <c r="M24" s="408"/>
      <c r="N24" s="409"/>
    </row>
    <row r="25" spans="2:14">
      <c r="B25" s="336"/>
      <c r="C25" s="337"/>
      <c r="D25" s="337"/>
      <c r="E25" s="337"/>
      <c r="F25" s="337"/>
      <c r="G25" s="337"/>
      <c r="H25" s="338"/>
      <c r="I25" s="338"/>
      <c r="J25" s="410"/>
      <c r="K25" s="411" t="s">
        <v>29</v>
      </c>
      <c r="L25" s="411" t="s">
        <v>30</v>
      </c>
      <c r="M25" s="411" t="s">
        <v>31</v>
      </c>
      <c r="N25" s="412" t="s">
        <v>32</v>
      </c>
    </row>
    <row r="26" ht="36.75" customHeight="1" spans="2:14">
      <c r="B26" s="339"/>
      <c r="C26" s="340"/>
      <c r="D26" s="340"/>
      <c r="E26" s="340"/>
      <c r="F26" s="340"/>
      <c r="G26" s="340"/>
      <c r="H26" s="341"/>
      <c r="I26" s="341"/>
      <c r="J26" s="410"/>
      <c r="K26" s="413" t="s">
        <v>33</v>
      </c>
      <c r="L26" s="413" t="s">
        <v>34</v>
      </c>
      <c r="M26" s="413" t="s">
        <v>35</v>
      </c>
      <c r="N26" s="412"/>
    </row>
    <row r="27" ht="15.75" spans="2:14">
      <c r="B27" s="342" t="s">
        <v>36</v>
      </c>
      <c r="C27" s="343"/>
      <c r="D27" s="343"/>
      <c r="E27" s="343"/>
      <c r="F27" s="343"/>
      <c r="G27" s="343"/>
      <c r="H27" s="344" t="s">
        <v>37</v>
      </c>
      <c r="I27" s="344" t="s">
        <v>38</v>
      </c>
      <c r="J27" s="344" t="s">
        <v>39</v>
      </c>
      <c r="K27" s="344" t="s">
        <v>40</v>
      </c>
      <c r="L27" s="344" t="s">
        <v>41</v>
      </c>
      <c r="M27" s="344" t="s">
        <v>42</v>
      </c>
      <c r="N27" s="414" t="s">
        <v>43</v>
      </c>
    </row>
    <row r="28" spans="2:14">
      <c r="B28" s="345" t="s">
        <v>44</v>
      </c>
      <c r="C28" s="346"/>
      <c r="D28" s="346"/>
      <c r="E28" s="346"/>
      <c r="F28" s="346"/>
      <c r="G28" s="346"/>
      <c r="H28" s="347" t="s">
        <v>45</v>
      </c>
      <c r="I28" s="415" t="s">
        <v>46</v>
      </c>
      <c r="J28" s="416" t="s">
        <v>46</v>
      </c>
      <c r="K28" s="417">
        <v>271429.67</v>
      </c>
      <c r="L28" s="418">
        <f>K29</f>
        <v>271429.669999994</v>
      </c>
      <c r="M28" s="418">
        <f>L29</f>
        <v>271429.669999994</v>
      </c>
      <c r="N28" s="419"/>
    </row>
    <row r="29" spans="2:14">
      <c r="B29" s="345" t="s">
        <v>47</v>
      </c>
      <c r="C29" s="346"/>
      <c r="D29" s="346"/>
      <c r="E29" s="346"/>
      <c r="F29" s="346"/>
      <c r="G29" s="346"/>
      <c r="H29" s="348" t="s">
        <v>48</v>
      </c>
      <c r="I29" s="420" t="s">
        <v>46</v>
      </c>
      <c r="J29" s="421" t="s">
        <v>46</v>
      </c>
      <c r="K29" s="422">
        <f>K28+K30-K56</f>
        <v>271429.669999994</v>
      </c>
      <c r="L29" s="422">
        <f t="shared" ref="L29:M29" si="0">L28+L30-L56</f>
        <v>271429.669999994</v>
      </c>
      <c r="M29" s="422">
        <f t="shared" si="0"/>
        <v>271429.669999994</v>
      </c>
      <c r="N29" s="423"/>
    </row>
    <row r="30" s="324" customFormat="1" spans="1:71">
      <c r="A30" s="327"/>
      <c r="B30" s="349" t="s">
        <v>49</v>
      </c>
      <c r="C30" s="350"/>
      <c r="D30" s="350"/>
      <c r="E30" s="350"/>
      <c r="F30" s="350"/>
      <c r="G30" s="350"/>
      <c r="H30" s="351" t="s">
        <v>50</v>
      </c>
      <c r="I30" s="424"/>
      <c r="J30" s="425"/>
      <c r="K30" s="426">
        <f>K31+K34+K37+K40+K43+K47+K53</f>
        <v>52270812.41</v>
      </c>
      <c r="L30" s="426">
        <f t="shared" ref="L30:M30" si="1">L31+L34+L37+L40+L43+L47+L53</f>
        <v>53449108.41</v>
      </c>
      <c r="M30" s="426">
        <f t="shared" si="1"/>
        <v>55183708.41</v>
      </c>
      <c r="N30" s="427"/>
      <c r="O30" s="329"/>
      <c r="P30" s="329"/>
      <c r="Q30" s="329"/>
      <c r="R30" s="327"/>
      <c r="S30" s="327"/>
      <c r="T30" s="327"/>
      <c r="U30" s="327"/>
      <c r="V30" s="327"/>
      <c r="W30" s="327"/>
      <c r="X30" s="327"/>
      <c r="Y30" s="327"/>
      <c r="Z30" s="327"/>
      <c r="AA30" s="327"/>
      <c r="AB30" s="327"/>
      <c r="AC30" s="327"/>
      <c r="AD30" s="327"/>
      <c r="AE30" s="327"/>
      <c r="AF30" s="327"/>
      <c r="AG30" s="327"/>
      <c r="AH30" s="327"/>
      <c r="AI30" s="327"/>
      <c r="AJ30" s="327"/>
      <c r="AK30" s="327"/>
      <c r="AL30" s="327"/>
      <c r="AM30" s="327"/>
      <c r="AN30" s="327"/>
      <c r="AO30" s="327"/>
      <c r="AP30" s="327"/>
      <c r="AQ30" s="327"/>
      <c r="AR30" s="327"/>
      <c r="AS30" s="327"/>
      <c r="AT30" s="327"/>
      <c r="AU30" s="327"/>
      <c r="AV30" s="327"/>
      <c r="AW30" s="327"/>
      <c r="AX30" s="327"/>
      <c r="AY30" s="327"/>
      <c r="AZ30" s="327"/>
      <c r="BA30" s="327"/>
      <c r="BB30" s="327"/>
      <c r="BC30" s="327"/>
      <c r="BD30" s="327"/>
      <c r="BE30" s="327"/>
      <c r="BF30" s="327"/>
      <c r="BG30" s="327"/>
      <c r="BH30" s="327"/>
      <c r="BI30" s="327"/>
      <c r="BJ30" s="327"/>
      <c r="BK30" s="327"/>
      <c r="BL30" s="327"/>
      <c r="BM30" s="327"/>
      <c r="BN30" s="327"/>
      <c r="BO30" s="327"/>
      <c r="BP30" s="327"/>
      <c r="BQ30" s="327"/>
      <c r="BR30" s="327"/>
      <c r="BS30" s="327"/>
    </row>
    <row r="31" spans="2:14">
      <c r="B31" s="352" t="s">
        <v>51</v>
      </c>
      <c r="C31" s="353"/>
      <c r="D31" s="353"/>
      <c r="E31" s="353"/>
      <c r="F31" s="353"/>
      <c r="G31" s="353"/>
      <c r="H31" s="348" t="s">
        <v>52</v>
      </c>
      <c r="I31" s="420" t="s">
        <v>53</v>
      </c>
      <c r="J31" s="428"/>
      <c r="K31" s="422">
        <f t="shared" ref="K31:M31" si="2">K32</f>
        <v>0</v>
      </c>
      <c r="L31" s="422">
        <f t="shared" si="2"/>
        <v>0</v>
      </c>
      <c r="M31" s="422">
        <f t="shared" si="2"/>
        <v>0</v>
      </c>
      <c r="N31" s="423"/>
    </row>
    <row r="32" spans="2:14">
      <c r="B32" s="354" t="s">
        <v>54</v>
      </c>
      <c r="C32" s="355"/>
      <c r="D32" s="355"/>
      <c r="E32" s="355"/>
      <c r="F32" s="355"/>
      <c r="G32" s="355"/>
      <c r="H32" s="356" t="s">
        <v>55</v>
      </c>
      <c r="I32" s="429"/>
      <c r="J32" s="428"/>
      <c r="K32" s="422"/>
      <c r="L32" s="422"/>
      <c r="M32" s="422"/>
      <c r="N32" s="423"/>
    </row>
    <row r="33" spans="2:14">
      <c r="B33" s="357"/>
      <c r="C33" s="358"/>
      <c r="D33" s="358"/>
      <c r="E33" s="358"/>
      <c r="F33" s="358"/>
      <c r="G33" s="358"/>
      <c r="H33" s="359"/>
      <c r="I33" s="430"/>
      <c r="J33" s="428"/>
      <c r="K33" s="422"/>
      <c r="L33" s="422"/>
      <c r="M33" s="422"/>
      <c r="N33" s="423"/>
    </row>
    <row r="34" spans="2:14">
      <c r="B34" s="360" t="s">
        <v>56</v>
      </c>
      <c r="C34" s="361"/>
      <c r="D34" s="361"/>
      <c r="E34" s="361"/>
      <c r="F34" s="361"/>
      <c r="G34" s="361"/>
      <c r="H34" s="348" t="s">
        <v>57</v>
      </c>
      <c r="I34" s="431" t="s">
        <v>58</v>
      </c>
      <c r="J34" s="428"/>
      <c r="K34" s="422">
        <f t="shared" ref="K34:M34" si="3">K35</f>
        <v>45744904</v>
      </c>
      <c r="L34" s="422">
        <f t="shared" si="3"/>
        <v>47276200</v>
      </c>
      <c r="M34" s="422">
        <f t="shared" si="3"/>
        <v>49010800</v>
      </c>
      <c r="N34" s="423"/>
    </row>
    <row r="35" spans="2:14">
      <c r="B35" s="362" t="s">
        <v>59</v>
      </c>
      <c r="C35" s="363"/>
      <c r="D35" s="363"/>
      <c r="E35" s="363"/>
      <c r="F35" s="363"/>
      <c r="G35" s="363"/>
      <c r="H35" s="348" t="s">
        <v>60</v>
      </c>
      <c r="I35" s="420" t="s">
        <v>58</v>
      </c>
      <c r="J35" s="428"/>
      <c r="K35" s="432">
        <f>45700000+44904</f>
        <v>45744904</v>
      </c>
      <c r="L35" s="432">
        <v>47276200</v>
      </c>
      <c r="M35" s="432">
        <v>49010800</v>
      </c>
      <c r="N35" s="423"/>
    </row>
    <row r="36" spans="2:14">
      <c r="B36" s="364"/>
      <c r="C36" s="365"/>
      <c r="D36" s="365"/>
      <c r="E36" s="365"/>
      <c r="F36" s="365"/>
      <c r="G36" s="366"/>
      <c r="H36" s="348"/>
      <c r="I36" s="420"/>
      <c r="J36" s="428"/>
      <c r="K36" s="422"/>
      <c r="L36" s="422"/>
      <c r="M36" s="422"/>
      <c r="N36" s="423"/>
    </row>
    <row r="37" spans="2:14">
      <c r="B37" s="360" t="s">
        <v>61</v>
      </c>
      <c r="C37" s="361"/>
      <c r="D37" s="361"/>
      <c r="E37" s="361"/>
      <c r="F37" s="361"/>
      <c r="G37" s="361"/>
      <c r="H37" s="348" t="s">
        <v>62</v>
      </c>
      <c r="I37" s="420" t="s">
        <v>63</v>
      </c>
      <c r="J37" s="428"/>
      <c r="K37" s="422">
        <f t="shared" ref="K37:M37" si="4">K38</f>
        <v>0</v>
      </c>
      <c r="L37" s="422">
        <f t="shared" si="4"/>
        <v>0</v>
      </c>
      <c r="M37" s="422">
        <f t="shared" si="4"/>
        <v>0</v>
      </c>
      <c r="N37" s="423"/>
    </row>
    <row r="38" spans="2:14">
      <c r="B38" s="354" t="s">
        <v>54</v>
      </c>
      <c r="C38" s="355"/>
      <c r="D38" s="355"/>
      <c r="E38" s="355"/>
      <c r="F38" s="355"/>
      <c r="G38" s="355"/>
      <c r="H38" s="356" t="s">
        <v>64</v>
      </c>
      <c r="I38" s="429" t="s">
        <v>63</v>
      </c>
      <c r="J38" s="428"/>
      <c r="K38" s="432"/>
      <c r="L38" s="432"/>
      <c r="M38" s="432"/>
      <c r="N38" s="423"/>
    </row>
    <row r="39" spans="2:14">
      <c r="B39" s="357"/>
      <c r="C39" s="358"/>
      <c r="D39" s="358"/>
      <c r="E39" s="358"/>
      <c r="F39" s="358"/>
      <c r="G39" s="358"/>
      <c r="H39" s="367"/>
      <c r="I39" s="433"/>
      <c r="J39" s="428"/>
      <c r="K39" s="432"/>
      <c r="L39" s="432"/>
      <c r="M39" s="432"/>
      <c r="N39" s="423"/>
    </row>
    <row r="40" spans="2:14">
      <c r="B40" s="360" t="s">
        <v>65</v>
      </c>
      <c r="C40" s="361"/>
      <c r="D40" s="361"/>
      <c r="E40" s="361"/>
      <c r="F40" s="361"/>
      <c r="G40" s="361"/>
      <c r="H40" s="348" t="s">
        <v>66</v>
      </c>
      <c r="I40" s="420" t="s">
        <v>67</v>
      </c>
      <c r="J40" s="428"/>
      <c r="K40" s="422">
        <f t="shared" ref="K40:M40" si="5">K41</f>
        <v>0</v>
      </c>
      <c r="L40" s="422">
        <f t="shared" si="5"/>
        <v>0</v>
      </c>
      <c r="M40" s="422">
        <f t="shared" si="5"/>
        <v>0</v>
      </c>
      <c r="N40" s="423"/>
    </row>
    <row r="41" spans="2:14">
      <c r="B41" s="368" t="s">
        <v>54</v>
      </c>
      <c r="C41" s="369"/>
      <c r="D41" s="369"/>
      <c r="E41" s="369"/>
      <c r="F41" s="369"/>
      <c r="G41" s="369"/>
      <c r="H41" s="356"/>
      <c r="I41" s="429"/>
      <c r="J41" s="428"/>
      <c r="K41" s="432"/>
      <c r="L41" s="432"/>
      <c r="M41" s="432"/>
      <c r="N41" s="423"/>
    </row>
    <row r="42" spans="2:14">
      <c r="B42" s="370"/>
      <c r="C42" s="371"/>
      <c r="D42" s="371"/>
      <c r="E42" s="371"/>
      <c r="F42" s="371"/>
      <c r="G42" s="371"/>
      <c r="H42" s="367"/>
      <c r="I42" s="433"/>
      <c r="J42" s="428"/>
      <c r="K42" s="432"/>
      <c r="L42" s="432"/>
      <c r="M42" s="432"/>
      <c r="N42" s="423"/>
    </row>
    <row r="43" spans="2:14">
      <c r="B43" s="360" t="s">
        <v>68</v>
      </c>
      <c r="C43" s="361"/>
      <c r="D43" s="361"/>
      <c r="E43" s="361"/>
      <c r="F43" s="361"/>
      <c r="G43" s="361"/>
      <c r="H43" s="348" t="s">
        <v>69</v>
      </c>
      <c r="I43" s="420" t="s">
        <v>70</v>
      </c>
      <c r="J43" s="428"/>
      <c r="K43" s="422">
        <f t="shared" ref="K43:M43" si="6">K44</f>
        <v>2271000</v>
      </c>
      <c r="L43" s="422">
        <f t="shared" si="6"/>
        <v>1918000</v>
      </c>
      <c r="M43" s="422">
        <f t="shared" si="6"/>
        <v>1918000</v>
      </c>
      <c r="N43" s="423"/>
    </row>
    <row r="44" spans="2:14">
      <c r="B44" s="368" t="s">
        <v>54</v>
      </c>
      <c r="C44" s="369"/>
      <c r="D44" s="369"/>
      <c r="E44" s="369"/>
      <c r="F44" s="369"/>
      <c r="G44" s="369"/>
      <c r="H44" s="356" t="s">
        <v>71</v>
      </c>
      <c r="I44" s="429" t="s">
        <v>70</v>
      </c>
      <c r="J44" s="428"/>
      <c r="K44" s="434">
        <f>1918000+3000+350000</f>
        <v>2271000</v>
      </c>
      <c r="L44" s="434">
        <v>1918000</v>
      </c>
      <c r="M44" s="434">
        <v>1918000</v>
      </c>
      <c r="N44" s="423"/>
    </row>
    <row r="45" spans="2:16">
      <c r="B45" s="370" t="s">
        <v>72</v>
      </c>
      <c r="C45" s="371"/>
      <c r="D45" s="371"/>
      <c r="E45" s="371"/>
      <c r="F45" s="371"/>
      <c r="G45" s="371"/>
      <c r="H45" s="367"/>
      <c r="I45" s="433"/>
      <c r="J45" s="428"/>
      <c r="K45" s="434"/>
      <c r="L45" s="434"/>
      <c r="M45" s="434"/>
      <c r="N45" s="423"/>
      <c r="P45" s="435"/>
    </row>
    <row r="46" spans="2:16">
      <c r="B46" s="372"/>
      <c r="C46" s="371"/>
      <c r="D46" s="371"/>
      <c r="E46" s="371"/>
      <c r="F46" s="371"/>
      <c r="G46" s="371"/>
      <c r="H46" s="348"/>
      <c r="I46" s="420"/>
      <c r="J46" s="428"/>
      <c r="K46" s="422"/>
      <c r="L46" s="422"/>
      <c r="M46" s="422"/>
      <c r="N46" s="423"/>
      <c r="P46" s="435"/>
    </row>
    <row r="47" spans="2:14">
      <c r="B47" s="360" t="s">
        <v>73</v>
      </c>
      <c r="C47" s="361"/>
      <c r="D47" s="361"/>
      <c r="E47" s="361"/>
      <c r="F47" s="361"/>
      <c r="G47" s="361"/>
      <c r="H47" s="348" t="s">
        <v>74</v>
      </c>
      <c r="I47" s="420"/>
      <c r="J47" s="428"/>
      <c r="K47" s="422">
        <f t="shared" ref="K47:M47" si="7">K48+K50+K51+K52</f>
        <v>4254908.41</v>
      </c>
      <c r="L47" s="422">
        <f t="shared" si="7"/>
        <v>4254908.41</v>
      </c>
      <c r="M47" s="422">
        <f t="shared" si="7"/>
        <v>4254908.41</v>
      </c>
      <c r="N47" s="423"/>
    </row>
    <row r="48" spans="2:14">
      <c r="B48" s="368" t="s">
        <v>54</v>
      </c>
      <c r="C48" s="369"/>
      <c r="D48" s="369"/>
      <c r="E48" s="369"/>
      <c r="F48" s="369"/>
      <c r="G48" s="369"/>
      <c r="H48" s="356"/>
      <c r="I48" s="429"/>
      <c r="J48" s="428"/>
      <c r="K48" s="432">
        <v>0</v>
      </c>
      <c r="L48" s="432">
        <v>0</v>
      </c>
      <c r="M48" s="432">
        <v>0</v>
      </c>
      <c r="N48" s="423"/>
    </row>
    <row r="49" spans="2:14">
      <c r="B49" s="373" t="s">
        <v>176</v>
      </c>
      <c r="C49" s="374"/>
      <c r="D49" s="374"/>
      <c r="E49" s="374"/>
      <c r="F49" s="374"/>
      <c r="G49" s="374"/>
      <c r="H49" s="367"/>
      <c r="I49" s="433"/>
      <c r="J49" s="428"/>
      <c r="K49" s="432"/>
      <c r="L49" s="432"/>
      <c r="M49" s="432"/>
      <c r="N49" s="423"/>
    </row>
    <row r="50" spans="2:14">
      <c r="B50" s="375" t="s">
        <v>76</v>
      </c>
      <c r="C50" s="376"/>
      <c r="D50" s="376"/>
      <c r="E50" s="376"/>
      <c r="F50" s="376"/>
      <c r="G50" s="376"/>
      <c r="H50" s="348"/>
      <c r="I50" s="420"/>
      <c r="J50" s="428"/>
      <c r="K50" s="432">
        <v>590400</v>
      </c>
      <c r="L50" s="432">
        <v>590400</v>
      </c>
      <c r="M50" s="432">
        <v>590400</v>
      </c>
      <c r="N50" s="423"/>
    </row>
    <row r="51" spans="2:14">
      <c r="B51" s="377" t="s">
        <v>177</v>
      </c>
      <c r="C51" s="378"/>
      <c r="D51" s="378"/>
      <c r="E51" s="378"/>
      <c r="F51" s="378"/>
      <c r="G51" s="378"/>
      <c r="H51" s="348"/>
      <c r="I51" s="420"/>
      <c r="J51" s="428"/>
      <c r="K51" s="432">
        <v>749228.41</v>
      </c>
      <c r="L51" s="432">
        <v>749228.41</v>
      </c>
      <c r="M51" s="432">
        <v>749228.41</v>
      </c>
      <c r="N51" s="423"/>
    </row>
    <row r="52" spans="2:14">
      <c r="B52" s="379" t="s">
        <v>178</v>
      </c>
      <c r="C52" s="70"/>
      <c r="D52" s="70"/>
      <c r="E52" s="70"/>
      <c r="F52" s="70"/>
      <c r="G52" s="70"/>
      <c r="H52" s="348"/>
      <c r="I52" s="420"/>
      <c r="J52" s="428"/>
      <c r="K52" s="432">
        <f>2915280</f>
        <v>2915280</v>
      </c>
      <c r="L52" s="432">
        <v>2915280</v>
      </c>
      <c r="M52" s="432">
        <v>2915280</v>
      </c>
      <c r="N52" s="423"/>
    </row>
    <row r="53" spans="2:14">
      <c r="B53" s="360" t="s">
        <v>79</v>
      </c>
      <c r="C53" s="361"/>
      <c r="D53" s="361"/>
      <c r="E53" s="361"/>
      <c r="F53" s="361"/>
      <c r="G53" s="361"/>
      <c r="H53" s="348" t="s">
        <v>80</v>
      </c>
      <c r="I53" s="420" t="s">
        <v>46</v>
      </c>
      <c r="J53" s="428"/>
      <c r="K53" s="422">
        <f t="shared" ref="K53:M53" si="8">K54</f>
        <v>0</v>
      </c>
      <c r="L53" s="422">
        <f t="shared" si="8"/>
        <v>0</v>
      </c>
      <c r="M53" s="422">
        <f t="shared" si="8"/>
        <v>0</v>
      </c>
      <c r="N53" s="423"/>
    </row>
    <row r="54" spans="2:14">
      <c r="B54" s="362" t="s">
        <v>81</v>
      </c>
      <c r="C54" s="363"/>
      <c r="D54" s="363"/>
      <c r="E54" s="363"/>
      <c r="F54" s="363"/>
      <c r="G54" s="363"/>
      <c r="H54" s="348" t="s">
        <v>82</v>
      </c>
      <c r="I54" s="420" t="s">
        <v>83</v>
      </c>
      <c r="J54" s="428"/>
      <c r="K54" s="422"/>
      <c r="L54" s="422"/>
      <c r="M54" s="422"/>
      <c r="N54" s="423" t="s">
        <v>46</v>
      </c>
    </row>
    <row r="55" ht="15.75" spans="2:18">
      <c r="B55" s="372"/>
      <c r="C55" s="371"/>
      <c r="D55" s="371"/>
      <c r="E55" s="371"/>
      <c r="F55" s="371"/>
      <c r="G55" s="371"/>
      <c r="H55" s="348"/>
      <c r="I55" s="420"/>
      <c r="J55" s="428"/>
      <c r="K55" s="422"/>
      <c r="L55" s="422"/>
      <c r="M55" s="422"/>
      <c r="N55" s="423"/>
      <c r="O55" s="329" t="s">
        <v>179</v>
      </c>
      <c r="P55" s="329">
        <v>2020</v>
      </c>
      <c r="Q55" s="329">
        <v>2021</v>
      </c>
      <c r="R55" s="327">
        <v>2022</v>
      </c>
    </row>
    <row r="56" s="325" customFormat="1" spans="1:71">
      <c r="A56" s="327"/>
      <c r="B56" s="380" t="s">
        <v>84</v>
      </c>
      <c r="C56" s="381"/>
      <c r="D56" s="381"/>
      <c r="E56" s="381"/>
      <c r="F56" s="381"/>
      <c r="G56" s="381"/>
      <c r="H56" s="382" t="s">
        <v>85</v>
      </c>
      <c r="I56" s="436" t="s">
        <v>46</v>
      </c>
      <c r="J56" s="437"/>
      <c r="K56" s="438">
        <f>K57+K91+K94+K118+K129+K131+K305</f>
        <v>52270812.41</v>
      </c>
      <c r="L56" s="438">
        <f>L57+L91+L94+L118+L129+L131+L305</f>
        <v>53449108.41</v>
      </c>
      <c r="M56" s="438">
        <f>M57+M91+M94+M118+M129+M131+M305</f>
        <v>55183708.41</v>
      </c>
      <c r="N56" s="439"/>
      <c r="O56" s="440" t="s">
        <v>180</v>
      </c>
      <c r="P56" s="441">
        <f>K59+K76+K97+K125+K148+K170++K188+K206+K227+K250+K268+K286+K246</f>
        <v>4254908.41</v>
      </c>
      <c r="Q56" s="441">
        <f>L59+L76+L97+L125+L148+L170++L188+L206+L227+L250+L268+L286+L246</f>
        <v>4254908.41</v>
      </c>
      <c r="R56" s="441">
        <f>M59+M76+M97+M125+M148+M170++M188+M206+M227+M250+M268+M286+M246</f>
        <v>4254908.41</v>
      </c>
      <c r="S56" s="327"/>
      <c r="T56" s="456"/>
      <c r="U56" s="456"/>
      <c r="V56" s="456"/>
      <c r="W56" s="456"/>
      <c r="X56" s="327"/>
      <c r="Y56" s="327"/>
      <c r="Z56" s="327"/>
      <c r="AA56" s="327"/>
      <c r="AB56" s="327"/>
      <c r="AC56" s="327"/>
      <c r="AD56" s="327"/>
      <c r="AE56" s="327"/>
      <c r="AF56" s="327"/>
      <c r="AG56" s="327"/>
      <c r="AH56" s="327"/>
      <c r="AI56" s="327"/>
      <c r="AJ56" s="327"/>
      <c r="AK56" s="327"/>
      <c r="AL56" s="327"/>
      <c r="AM56" s="327"/>
      <c r="AN56" s="327"/>
      <c r="AO56" s="327"/>
      <c r="AP56" s="327"/>
      <c r="AQ56" s="327"/>
      <c r="AR56" s="327"/>
      <c r="AS56" s="327"/>
      <c r="AT56" s="327"/>
      <c r="AU56" s="327"/>
      <c r="AV56" s="327"/>
      <c r="AW56" s="327"/>
      <c r="AX56" s="327"/>
      <c r="AY56" s="327"/>
      <c r="AZ56" s="327"/>
      <c r="BA56" s="327"/>
      <c r="BB56" s="327"/>
      <c r="BC56" s="327"/>
      <c r="BD56" s="327"/>
      <c r="BE56" s="327"/>
      <c r="BF56" s="327"/>
      <c r="BG56" s="327"/>
      <c r="BH56" s="327"/>
      <c r="BI56" s="327"/>
      <c r="BJ56" s="327"/>
      <c r="BK56" s="327"/>
      <c r="BL56" s="327"/>
      <c r="BM56" s="327"/>
      <c r="BN56" s="327"/>
      <c r="BO56" s="327"/>
      <c r="BP56" s="327"/>
      <c r="BQ56" s="327"/>
      <c r="BR56" s="327"/>
      <c r="BS56" s="327"/>
    </row>
    <row r="57" s="326" customFormat="1" spans="1:71">
      <c r="A57" s="327"/>
      <c r="B57" s="383" t="s">
        <v>86</v>
      </c>
      <c r="C57" s="384"/>
      <c r="D57" s="384"/>
      <c r="E57" s="384"/>
      <c r="F57" s="384"/>
      <c r="G57" s="384"/>
      <c r="H57" s="385" t="s">
        <v>87</v>
      </c>
      <c r="I57" s="442" t="s">
        <v>46</v>
      </c>
      <c r="J57" s="443"/>
      <c r="K57" s="444">
        <f>K58+K75</f>
        <v>31167273.6</v>
      </c>
      <c r="L57" s="444">
        <f>L58+L75</f>
        <v>32312945.6</v>
      </c>
      <c r="M57" s="444">
        <f t="shared" ref="M57" si="9">M58+M75</f>
        <v>33569935.6</v>
      </c>
      <c r="N57" s="445" t="s">
        <v>46</v>
      </c>
      <c r="O57" s="446" t="s">
        <v>181</v>
      </c>
      <c r="P57" s="447">
        <f>K60+K77+K98+K150+K172++K190+K208+K229+K252+K270+K288+K121+K93</f>
        <v>10243100</v>
      </c>
      <c r="Q57" s="447">
        <f t="shared" ref="Q57:R57" si="10">L60+L77+L98+L150+L172++L190+L208+L229+L252+L270+L288+L121+L93</f>
        <v>10447100</v>
      </c>
      <c r="R57" s="457">
        <f t="shared" si="10"/>
        <v>10700200</v>
      </c>
      <c r="S57" s="327"/>
      <c r="T57" s="458"/>
      <c r="U57" s="458"/>
      <c r="V57" s="458"/>
      <c r="W57" s="456"/>
      <c r="X57" s="327"/>
      <c r="Y57" s="327"/>
      <c r="Z57" s="327"/>
      <c r="AA57" s="327"/>
      <c r="AB57" s="327"/>
      <c r="AC57" s="327"/>
      <c r="AD57" s="327"/>
      <c r="AE57" s="327"/>
      <c r="AF57" s="327"/>
      <c r="AG57" s="327"/>
      <c r="AH57" s="327"/>
      <c r="AI57" s="327"/>
      <c r="AJ57" s="327"/>
      <c r="AK57" s="327"/>
      <c r="AL57" s="327"/>
      <c r="AM57" s="327"/>
      <c r="AN57" s="327"/>
      <c r="AO57" s="327"/>
      <c r="AP57" s="327"/>
      <c r="AQ57" s="327"/>
      <c r="AR57" s="327"/>
      <c r="AS57" s="327"/>
      <c r="AT57" s="327"/>
      <c r="AU57" s="327"/>
      <c r="AV57" s="327"/>
      <c r="AW57" s="327"/>
      <c r="AX57" s="327"/>
      <c r="AY57" s="327"/>
      <c r="AZ57" s="327"/>
      <c r="BA57" s="327"/>
      <c r="BB57" s="327"/>
      <c r="BC57" s="327"/>
      <c r="BD57" s="327"/>
      <c r="BE57" s="327"/>
      <c r="BF57" s="327"/>
      <c r="BG57" s="327"/>
      <c r="BH57" s="327"/>
      <c r="BI57" s="327"/>
      <c r="BJ57" s="327"/>
      <c r="BK57" s="327"/>
      <c r="BL57" s="327"/>
      <c r="BM57" s="327"/>
      <c r="BN57" s="327"/>
      <c r="BO57" s="327"/>
      <c r="BP57" s="327"/>
      <c r="BQ57" s="327"/>
      <c r="BR57" s="327"/>
      <c r="BS57" s="327"/>
    </row>
    <row r="58" spans="2:23">
      <c r="B58" s="362" t="s">
        <v>88</v>
      </c>
      <c r="C58" s="363"/>
      <c r="D58" s="363"/>
      <c r="E58" s="363"/>
      <c r="F58" s="363"/>
      <c r="G58" s="363"/>
      <c r="H58" s="348" t="s">
        <v>89</v>
      </c>
      <c r="I58" s="420" t="s">
        <v>90</v>
      </c>
      <c r="J58" s="448" t="s">
        <v>91</v>
      </c>
      <c r="K58" s="449">
        <f>SUM(K59:K67)</f>
        <v>31039086.53</v>
      </c>
      <c r="L58" s="449">
        <f t="shared" ref="L58:M58" si="11">SUM(L59:L67)</f>
        <v>32312945.6</v>
      </c>
      <c r="M58" s="449">
        <f t="shared" si="11"/>
        <v>33569935.6</v>
      </c>
      <c r="N58" s="450" t="s">
        <v>46</v>
      </c>
      <c r="O58" s="451" t="s">
        <v>182</v>
      </c>
      <c r="P58" s="447">
        <f>K61+K78+K99</f>
        <v>18100</v>
      </c>
      <c r="Q58" s="447">
        <f t="shared" ref="Q58:R58" si="12">L61+L78+L99</f>
        <v>18100</v>
      </c>
      <c r="R58" s="457">
        <f t="shared" si="12"/>
        <v>18100</v>
      </c>
      <c r="T58" s="456"/>
      <c r="U58" s="456"/>
      <c r="V58" s="456"/>
      <c r="W58" s="456"/>
    </row>
    <row r="59" spans="2:18">
      <c r="B59" s="362"/>
      <c r="C59" s="363"/>
      <c r="D59" s="363"/>
      <c r="E59" s="363"/>
      <c r="F59" s="363"/>
      <c r="G59" s="363"/>
      <c r="H59" s="348"/>
      <c r="I59" s="420"/>
      <c r="J59" s="452" t="s">
        <v>180</v>
      </c>
      <c r="K59" s="422">
        <v>1520072.6</v>
      </c>
      <c r="L59" s="422">
        <f>K59</f>
        <v>1520072.6</v>
      </c>
      <c r="M59" s="422">
        <f>L59</f>
        <v>1520072.6</v>
      </c>
      <c r="N59" s="450"/>
      <c r="O59" s="451" t="s">
        <v>183</v>
      </c>
      <c r="P59" s="447">
        <f>K62+K79++K100</f>
        <v>344300</v>
      </c>
      <c r="Q59" s="447">
        <f t="shared" ref="Q59:R59" si="13">L62+L79++L100</f>
        <v>344300</v>
      </c>
      <c r="R59" s="457">
        <f t="shared" si="13"/>
        <v>344300</v>
      </c>
    </row>
    <row r="60" spans="2:18">
      <c r="B60" s="364"/>
      <c r="C60" s="365"/>
      <c r="D60" s="365"/>
      <c r="E60" s="365"/>
      <c r="F60" s="365"/>
      <c r="G60" s="366"/>
      <c r="H60" s="348"/>
      <c r="I60" s="420"/>
      <c r="J60" s="446" t="s">
        <v>181</v>
      </c>
      <c r="K60" s="422">
        <f>2608910-2987.07</f>
        <v>2605922.93</v>
      </c>
      <c r="L60" s="422">
        <v>2693012</v>
      </c>
      <c r="M60" s="422">
        <v>2812137</v>
      </c>
      <c r="N60" s="450"/>
      <c r="O60" s="453" t="s">
        <v>184</v>
      </c>
      <c r="P60" s="447">
        <f>K63+K80+K101+K151+K173++K191+K209+K230+K253+K271+K289+K308</f>
        <v>35139404</v>
      </c>
      <c r="Q60" s="447">
        <f t="shared" ref="Q60:R60" si="14">L63+L80+L101+L151+L173++L191+L209+L230+L253+L271+L289</f>
        <v>36466700</v>
      </c>
      <c r="R60" s="457">
        <f t="shared" si="14"/>
        <v>37948200</v>
      </c>
    </row>
    <row r="61" spans="2:22">
      <c r="B61" s="364"/>
      <c r="C61" s="365"/>
      <c r="D61" s="365"/>
      <c r="E61" s="365"/>
      <c r="F61" s="365"/>
      <c r="G61" s="366"/>
      <c r="H61" s="348"/>
      <c r="I61" s="420"/>
      <c r="J61" s="452" t="s">
        <v>182</v>
      </c>
      <c r="K61" s="422">
        <v>13902</v>
      </c>
      <c r="L61" s="422">
        <v>13902</v>
      </c>
      <c r="M61" s="422">
        <v>13902</v>
      </c>
      <c r="N61" s="450"/>
      <c r="O61" s="451" t="s">
        <v>185</v>
      </c>
      <c r="P61" s="454">
        <f>K212</f>
        <v>1918000</v>
      </c>
      <c r="Q61" s="454">
        <f t="shared" ref="Q61:R61" si="15">L212</f>
        <v>1918000</v>
      </c>
      <c r="R61" s="454">
        <f t="shared" si="15"/>
        <v>1918000</v>
      </c>
      <c r="V61" s="327" t="s">
        <v>186</v>
      </c>
    </row>
    <row r="62" spans="2:18">
      <c r="B62" s="364"/>
      <c r="C62" s="365"/>
      <c r="D62" s="365"/>
      <c r="E62" s="365"/>
      <c r="F62" s="365"/>
      <c r="G62" s="366"/>
      <c r="H62" s="348"/>
      <c r="I62" s="420"/>
      <c r="J62" s="452" t="s">
        <v>183</v>
      </c>
      <c r="K62" s="422">
        <v>264439</v>
      </c>
      <c r="L62" s="422">
        <v>264439</v>
      </c>
      <c r="M62" s="422">
        <v>264439</v>
      </c>
      <c r="N62" s="450"/>
      <c r="O62" s="451" t="s">
        <v>187</v>
      </c>
      <c r="P62" s="447">
        <f>K189</f>
        <v>350000</v>
      </c>
      <c r="Q62" s="447">
        <f t="shared" ref="Q62:R62" si="16">L138+L255+L232+L211</f>
        <v>0</v>
      </c>
      <c r="R62" s="457">
        <f t="shared" si="16"/>
        <v>0</v>
      </c>
    </row>
    <row r="63" spans="2:18">
      <c r="B63" s="364"/>
      <c r="C63" s="365"/>
      <c r="D63" s="365"/>
      <c r="E63" s="365"/>
      <c r="F63" s="365"/>
      <c r="G63" s="366"/>
      <c r="H63" s="348"/>
      <c r="I63" s="420"/>
      <c r="J63" s="452" t="s">
        <v>184</v>
      </c>
      <c r="K63" s="422">
        <f>26600262+34488</f>
        <v>26634750</v>
      </c>
      <c r="L63" s="422">
        <v>27821520</v>
      </c>
      <c r="M63" s="422">
        <v>28959385</v>
      </c>
      <c r="N63" s="450"/>
      <c r="O63" s="451" t="s">
        <v>188</v>
      </c>
      <c r="P63" s="455">
        <f>K210</f>
        <v>0</v>
      </c>
      <c r="Q63" s="447">
        <f>L210</f>
        <v>0</v>
      </c>
      <c r="R63" s="457">
        <f>M210</f>
        <v>0</v>
      </c>
    </row>
    <row r="64" hidden="1" spans="2:18">
      <c r="B64" s="364"/>
      <c r="C64" s="365"/>
      <c r="D64" s="365"/>
      <c r="E64" s="365"/>
      <c r="F64" s="365"/>
      <c r="G64" s="366"/>
      <c r="H64" s="348"/>
      <c r="I64" s="420"/>
      <c r="J64" s="452" t="s">
        <v>189</v>
      </c>
      <c r="K64" s="422">
        <v>0</v>
      </c>
      <c r="L64" s="422">
        <v>0</v>
      </c>
      <c r="M64" s="422">
        <v>0</v>
      </c>
      <c r="N64" s="450"/>
      <c r="O64" s="451" t="s">
        <v>190</v>
      </c>
      <c r="P64" s="455"/>
      <c r="Q64" s="447"/>
      <c r="R64" s="457"/>
    </row>
    <row r="65" hidden="1" spans="2:18">
      <c r="B65" s="364"/>
      <c r="C65" s="365"/>
      <c r="D65" s="365"/>
      <c r="E65" s="365"/>
      <c r="F65" s="365"/>
      <c r="G65" s="366"/>
      <c r="H65" s="348"/>
      <c r="I65" s="420"/>
      <c r="J65" s="452" t="s">
        <v>191</v>
      </c>
      <c r="K65" s="422">
        <v>0</v>
      </c>
      <c r="L65" s="422">
        <v>0</v>
      </c>
      <c r="M65" s="422">
        <v>0</v>
      </c>
      <c r="N65" s="450"/>
      <c r="O65" s="451" t="s">
        <v>189</v>
      </c>
      <c r="P65" s="455">
        <f>K64+K102</f>
        <v>0</v>
      </c>
      <c r="Q65" s="447">
        <f t="shared" ref="Q65:R65" si="17">L64+L102</f>
        <v>0</v>
      </c>
      <c r="R65" s="457">
        <f t="shared" si="17"/>
        <v>0</v>
      </c>
    </row>
    <row r="66" hidden="1" spans="2:22">
      <c r="B66" s="364"/>
      <c r="C66" s="365"/>
      <c r="D66" s="365"/>
      <c r="E66" s="365"/>
      <c r="F66" s="365"/>
      <c r="G66" s="366"/>
      <c r="H66" s="348"/>
      <c r="I66" s="420"/>
      <c r="J66" s="452" t="s">
        <v>192</v>
      </c>
      <c r="K66" s="422"/>
      <c r="L66" s="422"/>
      <c r="M66" s="422"/>
      <c r="N66" s="450"/>
      <c r="O66" s="452" t="s">
        <v>191</v>
      </c>
      <c r="P66" s="455">
        <f>K65+K103</f>
        <v>0</v>
      </c>
      <c r="Q66" s="447">
        <f t="shared" ref="Q66:R66" si="18">L65+L103</f>
        <v>0</v>
      </c>
      <c r="R66" s="457">
        <f t="shared" si="18"/>
        <v>0</v>
      </c>
      <c r="V66" s="327" t="s">
        <v>186</v>
      </c>
    </row>
    <row r="67" hidden="1" spans="2:18">
      <c r="B67" s="364"/>
      <c r="C67" s="365"/>
      <c r="D67" s="365"/>
      <c r="E67" s="365"/>
      <c r="F67" s="365"/>
      <c r="G67" s="366"/>
      <c r="H67" s="348"/>
      <c r="I67" s="420"/>
      <c r="J67" s="452" t="s">
        <v>193</v>
      </c>
      <c r="K67" s="422"/>
      <c r="L67" s="422"/>
      <c r="M67" s="422"/>
      <c r="N67" s="450"/>
      <c r="O67" s="452" t="s">
        <v>194</v>
      </c>
      <c r="P67" s="447">
        <f>K275+K213</f>
        <v>0</v>
      </c>
      <c r="Q67" s="447">
        <f>L275+L213</f>
        <v>0</v>
      </c>
      <c r="R67" s="457">
        <f>M275+M213</f>
        <v>0</v>
      </c>
    </row>
    <row r="68" hidden="1" spans="2:18">
      <c r="B68" s="364"/>
      <c r="C68" s="365"/>
      <c r="D68" s="365"/>
      <c r="E68" s="365"/>
      <c r="F68" s="365"/>
      <c r="G68" s="366"/>
      <c r="H68" s="348"/>
      <c r="I68" s="420"/>
      <c r="J68" s="452"/>
      <c r="K68" s="422"/>
      <c r="L68" s="422"/>
      <c r="M68" s="422"/>
      <c r="N68" s="450"/>
      <c r="O68" s="452"/>
      <c r="P68" s="447"/>
      <c r="Q68" s="447"/>
      <c r="R68" s="457"/>
    </row>
    <row r="69" hidden="1" spans="2:18">
      <c r="B69" s="364"/>
      <c r="C69" s="365"/>
      <c r="D69" s="365"/>
      <c r="E69" s="365"/>
      <c r="F69" s="365"/>
      <c r="G69" s="366"/>
      <c r="H69" s="348"/>
      <c r="I69" s="420"/>
      <c r="J69" s="452"/>
      <c r="K69" s="422"/>
      <c r="L69" s="422"/>
      <c r="M69" s="422"/>
      <c r="N69" s="450"/>
      <c r="O69" s="452"/>
      <c r="P69" s="447"/>
      <c r="Q69" s="447"/>
      <c r="R69" s="457"/>
    </row>
    <row r="70" hidden="1" spans="2:18">
      <c r="B70" s="364"/>
      <c r="C70" s="365"/>
      <c r="D70" s="365"/>
      <c r="E70" s="365"/>
      <c r="F70" s="365"/>
      <c r="G70" s="366"/>
      <c r="H70" s="348"/>
      <c r="I70" s="420"/>
      <c r="J70" s="452"/>
      <c r="K70" s="422"/>
      <c r="L70" s="422"/>
      <c r="M70" s="422"/>
      <c r="N70" s="450"/>
      <c r="O70" s="452"/>
      <c r="P70" s="447"/>
      <c r="Q70" s="447"/>
      <c r="R70" s="457"/>
    </row>
    <row r="71" hidden="1" spans="2:18">
      <c r="B71" s="364"/>
      <c r="C71" s="365"/>
      <c r="D71" s="365"/>
      <c r="E71" s="365"/>
      <c r="F71" s="365"/>
      <c r="G71" s="366"/>
      <c r="H71" s="348"/>
      <c r="I71" s="420"/>
      <c r="J71" s="452"/>
      <c r="K71" s="422"/>
      <c r="L71" s="422"/>
      <c r="M71" s="422"/>
      <c r="N71" s="450"/>
      <c r="O71" s="452"/>
      <c r="P71" s="447"/>
      <c r="Q71" s="447"/>
      <c r="R71" s="457"/>
    </row>
    <row r="72" hidden="1" spans="2:18">
      <c r="B72" s="364"/>
      <c r="C72" s="365"/>
      <c r="D72" s="365"/>
      <c r="E72" s="365"/>
      <c r="F72" s="365"/>
      <c r="G72" s="366"/>
      <c r="H72" s="348"/>
      <c r="I72" s="420"/>
      <c r="J72" s="452"/>
      <c r="K72" s="422"/>
      <c r="L72" s="422"/>
      <c r="M72" s="422"/>
      <c r="N72" s="450"/>
      <c r="O72" s="452"/>
      <c r="P72" s="447"/>
      <c r="Q72" s="447"/>
      <c r="R72" s="457"/>
    </row>
    <row r="73" hidden="1" spans="2:18">
      <c r="B73" s="364"/>
      <c r="C73" s="365"/>
      <c r="D73" s="365"/>
      <c r="E73" s="365"/>
      <c r="F73" s="365"/>
      <c r="G73" s="366"/>
      <c r="H73" s="348"/>
      <c r="I73" s="420"/>
      <c r="J73" s="452"/>
      <c r="K73" s="422"/>
      <c r="L73" s="422"/>
      <c r="M73" s="422"/>
      <c r="N73" s="450"/>
      <c r="O73" s="452"/>
      <c r="P73" s="447"/>
      <c r="Q73" s="447"/>
      <c r="R73" s="457"/>
    </row>
    <row r="74" spans="2:18">
      <c r="B74" s="364"/>
      <c r="C74" s="365"/>
      <c r="D74" s="365"/>
      <c r="E74" s="365"/>
      <c r="F74" s="365"/>
      <c r="G74" s="366"/>
      <c r="H74" s="348"/>
      <c r="I74" s="420"/>
      <c r="J74" s="421"/>
      <c r="K74" s="422"/>
      <c r="L74" s="422"/>
      <c r="M74" s="422"/>
      <c r="N74" s="450"/>
      <c r="O74" s="452" t="s">
        <v>195</v>
      </c>
      <c r="P74" s="447">
        <f>K126</f>
        <v>3000</v>
      </c>
      <c r="Q74" s="447">
        <f t="shared" ref="Q74:R74" si="19">L66+L83+L104+L157+L179+L197+L215+L236+L259+L277+L295</f>
        <v>0</v>
      </c>
      <c r="R74" s="457">
        <f t="shared" si="19"/>
        <v>0</v>
      </c>
    </row>
    <row r="75" spans="2:18">
      <c r="B75" s="364"/>
      <c r="C75" s="365"/>
      <c r="D75" s="365"/>
      <c r="E75" s="365"/>
      <c r="F75" s="365"/>
      <c r="G75" s="366"/>
      <c r="H75" s="348"/>
      <c r="I75" s="420"/>
      <c r="J75" s="448" t="s">
        <v>92</v>
      </c>
      <c r="K75" s="449">
        <f>SUM(K76:K84)</f>
        <v>128187.07</v>
      </c>
      <c r="L75" s="449">
        <f t="shared" ref="L75:M75" si="20">SUM(L76:L84)</f>
        <v>0</v>
      </c>
      <c r="M75" s="449">
        <f t="shared" si="20"/>
        <v>0</v>
      </c>
      <c r="N75" s="450"/>
      <c r="O75" s="452" t="s">
        <v>193</v>
      </c>
      <c r="P75" s="447">
        <f>K67+K84+K105+K158+K180+K198+K216+K237+K260+K278+K296+K122</f>
        <v>0</v>
      </c>
      <c r="Q75" s="447">
        <f t="shared" ref="Q75:R75" si="21">L67+L84+L105+L158+L180+L198+L216+L237+L260+L278+L296+L122</f>
        <v>0</v>
      </c>
      <c r="R75" s="457">
        <f t="shared" si="21"/>
        <v>0</v>
      </c>
    </row>
    <row r="76" ht="15.75" hidden="1" spans="2:18">
      <c r="B76" s="364"/>
      <c r="C76" s="365"/>
      <c r="D76" s="365"/>
      <c r="E76" s="365"/>
      <c r="F76" s="365"/>
      <c r="G76" s="366"/>
      <c r="H76" s="348"/>
      <c r="I76" s="420"/>
      <c r="J76" s="452" t="s">
        <v>180</v>
      </c>
      <c r="K76" s="422"/>
      <c r="L76" s="422"/>
      <c r="M76" s="422"/>
      <c r="N76" s="450"/>
      <c r="O76" s="478" t="s">
        <v>196</v>
      </c>
      <c r="P76" s="479">
        <v>0</v>
      </c>
      <c r="Q76" s="479">
        <f t="shared" ref="Q76:R76" si="22">L149+L171+L189+L207+L228+L251+L269+L287</f>
        <v>0</v>
      </c>
      <c r="R76" s="492">
        <f t="shared" si="22"/>
        <v>0</v>
      </c>
    </row>
    <row r="77" spans="2:18">
      <c r="B77" s="364"/>
      <c r="C77" s="365"/>
      <c r="D77" s="365"/>
      <c r="E77" s="365"/>
      <c r="F77" s="365"/>
      <c r="G77" s="366"/>
      <c r="H77" s="348"/>
      <c r="I77" s="420"/>
      <c r="J77" s="446" t="s">
        <v>181</v>
      </c>
      <c r="K77" s="422">
        <v>2987.07</v>
      </c>
      <c r="L77" s="422">
        <v>0</v>
      </c>
      <c r="M77" s="422">
        <v>0</v>
      </c>
      <c r="N77" s="423"/>
      <c r="O77" s="435"/>
      <c r="P77" s="435">
        <f>SUM(P56:P76)</f>
        <v>52270812.41</v>
      </c>
      <c r="Q77" s="435">
        <f>SUM(Q56:Q76)</f>
        <v>53449108.41</v>
      </c>
      <c r="R77" s="435">
        <f>SUM(R56:R76)</f>
        <v>55183708.41</v>
      </c>
    </row>
    <row r="78" hidden="1" spans="2:17">
      <c r="B78" s="364"/>
      <c r="C78" s="365"/>
      <c r="D78" s="365"/>
      <c r="E78" s="365"/>
      <c r="F78" s="365"/>
      <c r="G78" s="366"/>
      <c r="H78" s="348"/>
      <c r="I78" s="420"/>
      <c r="J78" s="452" t="s">
        <v>182</v>
      </c>
      <c r="K78" s="449"/>
      <c r="L78" s="449"/>
      <c r="M78" s="449"/>
      <c r="N78" s="423"/>
      <c r="O78" s="435"/>
      <c r="P78" s="435"/>
      <c r="Q78" s="435"/>
    </row>
    <row r="79" hidden="1" spans="2:17">
      <c r="B79" s="364"/>
      <c r="C79" s="365"/>
      <c r="D79" s="365"/>
      <c r="E79" s="365"/>
      <c r="F79" s="365"/>
      <c r="G79" s="366"/>
      <c r="H79" s="348"/>
      <c r="I79" s="420"/>
      <c r="J79" s="452" t="s">
        <v>183</v>
      </c>
      <c r="K79" s="422"/>
      <c r="L79" s="422"/>
      <c r="M79" s="422"/>
      <c r="N79" s="423"/>
      <c r="O79" s="435"/>
      <c r="P79" s="435"/>
      <c r="Q79" s="435"/>
    </row>
    <row r="80" spans="2:18">
      <c r="B80" s="364"/>
      <c r="C80" s="365"/>
      <c r="D80" s="365"/>
      <c r="E80" s="365"/>
      <c r="F80" s="365"/>
      <c r="G80" s="366"/>
      <c r="H80" s="348"/>
      <c r="I80" s="420"/>
      <c r="J80" s="452" t="s">
        <v>184</v>
      </c>
      <c r="K80" s="422">
        <v>125200</v>
      </c>
      <c r="L80" s="422">
        <v>0</v>
      </c>
      <c r="M80" s="422">
        <v>0</v>
      </c>
      <c r="N80" s="423"/>
      <c r="O80" s="435"/>
      <c r="P80" s="435"/>
      <c r="Q80" s="435"/>
      <c r="R80" s="435"/>
    </row>
    <row r="81" hidden="1" spans="2:17">
      <c r="B81" s="364"/>
      <c r="C81" s="365"/>
      <c r="D81" s="365"/>
      <c r="E81" s="365"/>
      <c r="F81" s="365"/>
      <c r="G81" s="366"/>
      <c r="H81" s="348"/>
      <c r="I81" s="420"/>
      <c r="J81" s="452" t="s">
        <v>189</v>
      </c>
      <c r="K81" s="422"/>
      <c r="L81" s="422"/>
      <c r="M81" s="422"/>
      <c r="N81" s="423"/>
      <c r="O81" s="435"/>
      <c r="P81" s="435"/>
      <c r="Q81" s="435"/>
    </row>
    <row r="82" hidden="1" spans="2:17">
      <c r="B82" s="459"/>
      <c r="C82" s="460"/>
      <c r="D82" s="460"/>
      <c r="E82" s="460"/>
      <c r="F82" s="460"/>
      <c r="G82" s="460"/>
      <c r="H82" s="348"/>
      <c r="I82" s="420"/>
      <c r="J82" s="452" t="s">
        <v>191</v>
      </c>
      <c r="K82" s="449"/>
      <c r="L82" s="449"/>
      <c r="M82" s="449"/>
      <c r="N82" s="423"/>
      <c r="O82" s="435"/>
      <c r="P82" s="435"/>
      <c r="Q82" s="435"/>
    </row>
    <row r="83" hidden="1" spans="2:17">
      <c r="B83" s="459"/>
      <c r="C83" s="460"/>
      <c r="D83" s="460"/>
      <c r="E83" s="460"/>
      <c r="F83" s="460"/>
      <c r="G83" s="460"/>
      <c r="H83" s="348"/>
      <c r="I83" s="420"/>
      <c r="J83" s="452" t="s">
        <v>192</v>
      </c>
      <c r="K83" s="422"/>
      <c r="L83" s="422"/>
      <c r="M83" s="422"/>
      <c r="N83" s="423"/>
      <c r="O83" s="435"/>
      <c r="P83" s="435"/>
      <c r="Q83" s="435"/>
    </row>
    <row r="84" hidden="1" spans="2:17">
      <c r="B84" s="459"/>
      <c r="C84" s="460"/>
      <c r="D84" s="460"/>
      <c r="E84" s="460"/>
      <c r="F84" s="460"/>
      <c r="G84" s="460"/>
      <c r="H84" s="348"/>
      <c r="I84" s="420"/>
      <c r="J84" s="452" t="s">
        <v>193</v>
      </c>
      <c r="K84" s="422"/>
      <c r="L84" s="422"/>
      <c r="M84" s="422"/>
      <c r="N84" s="423"/>
      <c r="O84" s="435"/>
      <c r="P84" s="435"/>
      <c r="Q84" s="435"/>
    </row>
    <row r="85" hidden="1" spans="2:17">
      <c r="B85" s="459"/>
      <c r="C85" s="460"/>
      <c r="D85" s="460"/>
      <c r="E85" s="460"/>
      <c r="F85" s="460"/>
      <c r="G85" s="460"/>
      <c r="H85" s="348"/>
      <c r="I85" s="420"/>
      <c r="J85" s="452"/>
      <c r="K85" s="422"/>
      <c r="L85" s="422"/>
      <c r="M85" s="422"/>
      <c r="N85" s="423"/>
      <c r="O85" s="435"/>
      <c r="P85" s="435"/>
      <c r="Q85" s="435"/>
    </row>
    <row r="86" hidden="1" spans="2:17">
      <c r="B86" s="459"/>
      <c r="C86" s="460"/>
      <c r="D86" s="460"/>
      <c r="E86" s="460"/>
      <c r="F86" s="460"/>
      <c r="G86" s="460"/>
      <c r="H86" s="348"/>
      <c r="I86" s="420"/>
      <c r="J86" s="452"/>
      <c r="K86" s="422"/>
      <c r="L86" s="422"/>
      <c r="M86" s="422"/>
      <c r="N86" s="423"/>
      <c r="O86" s="435"/>
      <c r="P86" s="435"/>
      <c r="Q86" s="435"/>
    </row>
    <row r="87" hidden="1" spans="2:17">
      <c r="B87" s="459"/>
      <c r="C87" s="460"/>
      <c r="D87" s="460"/>
      <c r="E87" s="460"/>
      <c r="F87" s="460"/>
      <c r="G87" s="460"/>
      <c r="H87" s="348"/>
      <c r="I87" s="420"/>
      <c r="J87" s="452"/>
      <c r="K87" s="422"/>
      <c r="L87" s="422"/>
      <c r="M87" s="422"/>
      <c r="N87" s="423"/>
      <c r="O87" s="435"/>
      <c r="P87" s="435"/>
      <c r="Q87" s="435"/>
    </row>
    <row r="88" hidden="1" spans="2:17">
      <c r="B88" s="459"/>
      <c r="C88" s="460"/>
      <c r="D88" s="460"/>
      <c r="E88" s="460"/>
      <c r="F88" s="460"/>
      <c r="G88" s="460"/>
      <c r="H88" s="348"/>
      <c r="I88" s="420"/>
      <c r="J88" s="452"/>
      <c r="K88" s="422"/>
      <c r="L88" s="422"/>
      <c r="M88" s="422"/>
      <c r="N88" s="423"/>
      <c r="O88" s="435"/>
      <c r="P88" s="435"/>
      <c r="Q88" s="435"/>
    </row>
    <row r="89" hidden="1" spans="2:17">
      <c r="B89" s="459"/>
      <c r="C89" s="460"/>
      <c r="D89" s="460"/>
      <c r="E89" s="460"/>
      <c r="F89" s="460"/>
      <c r="G89" s="460"/>
      <c r="H89" s="348"/>
      <c r="I89" s="420"/>
      <c r="J89" s="421"/>
      <c r="K89" s="422"/>
      <c r="L89" s="422"/>
      <c r="M89" s="422"/>
      <c r="N89" s="423"/>
      <c r="O89" s="435"/>
      <c r="P89" s="435"/>
      <c r="Q89" s="435"/>
    </row>
    <row r="90" hidden="1" spans="2:17">
      <c r="B90" s="459"/>
      <c r="C90" s="460"/>
      <c r="D90" s="460"/>
      <c r="E90" s="460"/>
      <c r="F90" s="460"/>
      <c r="G90" s="460"/>
      <c r="H90" s="348"/>
      <c r="I90" s="420"/>
      <c r="J90" s="421"/>
      <c r="K90" s="422"/>
      <c r="L90" s="422"/>
      <c r="M90" s="422"/>
      <c r="N90" s="423"/>
      <c r="O90" s="435"/>
      <c r="P90" s="435"/>
      <c r="Q90" s="435"/>
    </row>
    <row r="91" s="326" customFormat="1" spans="1:71">
      <c r="A91" s="327"/>
      <c r="B91" s="461" t="s">
        <v>93</v>
      </c>
      <c r="C91" s="462"/>
      <c r="D91" s="462"/>
      <c r="E91" s="462"/>
      <c r="F91" s="462"/>
      <c r="G91" s="462"/>
      <c r="H91" s="385" t="s">
        <v>94</v>
      </c>
      <c r="I91" s="442" t="s">
        <v>95</v>
      </c>
      <c r="J91" s="443"/>
      <c r="K91" s="444">
        <f>K92</f>
        <v>6000</v>
      </c>
      <c r="L91" s="444">
        <f t="shared" ref="L91:M91" si="23">L92</f>
        <v>6000</v>
      </c>
      <c r="M91" s="444">
        <f t="shared" si="23"/>
        <v>6000</v>
      </c>
      <c r="N91" s="480" t="s">
        <v>46</v>
      </c>
      <c r="O91" s="435"/>
      <c r="P91" s="435"/>
      <c r="Q91" s="435"/>
      <c r="R91" s="327"/>
      <c r="S91" s="327"/>
      <c r="T91" s="327"/>
      <c r="U91" s="327"/>
      <c r="V91" s="327"/>
      <c r="W91" s="327"/>
      <c r="X91" s="327"/>
      <c r="Y91" s="327"/>
      <c r="Z91" s="327"/>
      <c r="AA91" s="327"/>
      <c r="AB91" s="327"/>
      <c r="AC91" s="327"/>
      <c r="AD91" s="327"/>
      <c r="AE91" s="327"/>
      <c r="AF91" s="327"/>
      <c r="AG91" s="327"/>
      <c r="AH91" s="327"/>
      <c r="AI91" s="327"/>
      <c r="AJ91" s="327"/>
      <c r="AK91" s="327"/>
      <c r="AL91" s="327"/>
      <c r="AM91" s="327"/>
      <c r="AN91" s="327"/>
      <c r="AO91" s="327"/>
      <c r="AP91" s="327"/>
      <c r="AQ91" s="327"/>
      <c r="AR91" s="327"/>
      <c r="AS91" s="327"/>
      <c r="AT91" s="327"/>
      <c r="AU91" s="327"/>
      <c r="AV91" s="327"/>
      <c r="AW91" s="327"/>
      <c r="AX91" s="327"/>
      <c r="AY91" s="327"/>
      <c r="AZ91" s="327"/>
      <c r="BA91" s="327"/>
      <c r="BB91" s="327"/>
      <c r="BC91" s="327"/>
      <c r="BD91" s="327"/>
      <c r="BE91" s="327"/>
      <c r="BF91" s="327"/>
      <c r="BG91" s="327"/>
      <c r="BH91" s="327"/>
      <c r="BI91" s="327"/>
      <c r="BJ91" s="327"/>
      <c r="BK91" s="327"/>
      <c r="BL91" s="327"/>
      <c r="BM91" s="327"/>
      <c r="BN91" s="327"/>
      <c r="BO91" s="327"/>
      <c r="BP91" s="327"/>
      <c r="BQ91" s="327"/>
      <c r="BR91" s="327"/>
      <c r="BS91" s="327"/>
    </row>
    <row r="92" s="327" customFormat="1" spans="2:17">
      <c r="B92" s="463"/>
      <c r="C92" s="464"/>
      <c r="D92" s="464"/>
      <c r="E92" s="464"/>
      <c r="F92" s="464"/>
      <c r="G92" s="464"/>
      <c r="H92" s="465"/>
      <c r="I92" s="481"/>
      <c r="J92" s="448"/>
      <c r="K92" s="482">
        <f>K93</f>
        <v>6000</v>
      </c>
      <c r="L92" s="482">
        <f t="shared" ref="L92:M92" si="24">L93</f>
        <v>6000</v>
      </c>
      <c r="M92" s="482">
        <f t="shared" si="24"/>
        <v>6000</v>
      </c>
      <c r="N92" s="483"/>
      <c r="O92" s="484"/>
      <c r="P92" s="484"/>
      <c r="Q92" s="484"/>
    </row>
    <row r="93" s="327" customFormat="1" spans="2:17">
      <c r="B93" s="463"/>
      <c r="C93" s="464"/>
      <c r="D93" s="464"/>
      <c r="E93" s="464"/>
      <c r="F93" s="464"/>
      <c r="G93" s="464"/>
      <c r="H93" s="465"/>
      <c r="I93" s="481"/>
      <c r="J93" s="446" t="s">
        <v>181</v>
      </c>
      <c r="K93" s="485">
        <v>6000</v>
      </c>
      <c r="L93" s="485">
        <v>6000</v>
      </c>
      <c r="M93" s="485">
        <v>6000</v>
      </c>
      <c r="N93" s="483"/>
      <c r="O93" s="329"/>
      <c r="P93" s="329"/>
      <c r="Q93" s="329"/>
    </row>
    <row r="94" s="326" customFormat="1" ht="24" customHeight="1" spans="1:71">
      <c r="A94" s="327"/>
      <c r="B94" s="466" t="s">
        <v>96</v>
      </c>
      <c r="C94" s="467"/>
      <c r="D94" s="467"/>
      <c r="E94" s="467"/>
      <c r="F94" s="467"/>
      <c r="G94" s="467"/>
      <c r="H94" s="385" t="s">
        <v>97</v>
      </c>
      <c r="I94" s="442" t="s">
        <v>98</v>
      </c>
      <c r="J94" s="443"/>
      <c r="K94" s="444">
        <f>K95+K114</f>
        <v>9402371.93</v>
      </c>
      <c r="L94" s="444">
        <f t="shared" ref="L94:M94" si="25">L95+L114</f>
        <v>9758507.93</v>
      </c>
      <c r="M94" s="444">
        <f t="shared" si="25"/>
        <v>10138117.93</v>
      </c>
      <c r="N94" s="480" t="s">
        <v>46</v>
      </c>
      <c r="O94" s="329"/>
      <c r="P94" s="329"/>
      <c r="Q94" s="329"/>
      <c r="R94" s="327"/>
      <c r="S94" s="327"/>
      <c r="T94" s="327"/>
      <c r="U94" s="327"/>
      <c r="V94" s="327"/>
      <c r="W94" s="327"/>
      <c r="X94" s="327"/>
      <c r="Y94" s="327"/>
      <c r="Z94" s="327"/>
      <c r="AA94" s="327"/>
      <c r="AB94" s="327"/>
      <c r="AC94" s="327"/>
      <c r="AD94" s="327"/>
      <c r="AE94" s="327"/>
      <c r="AF94" s="327"/>
      <c r="AG94" s="327"/>
      <c r="AH94" s="327"/>
      <c r="AI94" s="327"/>
      <c r="AJ94" s="327"/>
      <c r="AK94" s="327"/>
      <c r="AL94" s="327"/>
      <c r="AM94" s="327"/>
      <c r="AN94" s="327"/>
      <c r="AO94" s="327"/>
      <c r="AP94" s="327"/>
      <c r="AQ94" s="327"/>
      <c r="AR94" s="327"/>
      <c r="AS94" s="327"/>
      <c r="AT94" s="327"/>
      <c r="AU94" s="327"/>
      <c r="AV94" s="327"/>
      <c r="AW94" s="327"/>
      <c r="AX94" s="327"/>
      <c r="AY94" s="327"/>
      <c r="AZ94" s="327"/>
      <c r="BA94" s="327"/>
      <c r="BB94" s="327"/>
      <c r="BC94" s="327"/>
      <c r="BD94" s="327"/>
      <c r="BE94" s="327"/>
      <c r="BF94" s="327"/>
      <c r="BG94" s="327"/>
      <c r="BH94" s="327"/>
      <c r="BI94" s="327"/>
      <c r="BJ94" s="327"/>
      <c r="BK94" s="327"/>
      <c r="BL94" s="327"/>
      <c r="BM94" s="327"/>
      <c r="BN94" s="327"/>
      <c r="BO94" s="327"/>
      <c r="BP94" s="327"/>
      <c r="BQ94" s="327"/>
      <c r="BR94" s="327"/>
      <c r="BS94" s="327"/>
    </row>
    <row r="95" s="328" customFormat="1" spans="2:51">
      <c r="B95" s="468" t="s">
        <v>99</v>
      </c>
      <c r="C95" s="469"/>
      <c r="D95" s="469"/>
      <c r="E95" s="469"/>
      <c r="F95" s="469"/>
      <c r="G95" s="469"/>
      <c r="H95" s="470" t="s">
        <v>100</v>
      </c>
      <c r="I95" s="486" t="s">
        <v>98</v>
      </c>
      <c r="J95" s="487"/>
      <c r="K95" s="488">
        <f>K96</f>
        <v>9402371.93</v>
      </c>
      <c r="L95" s="488">
        <f t="shared" ref="L95:M95" si="26">L96</f>
        <v>9758507.93</v>
      </c>
      <c r="M95" s="488">
        <f t="shared" si="26"/>
        <v>10138117.93</v>
      </c>
      <c r="N95" s="489" t="s">
        <v>46</v>
      </c>
      <c r="O95" s="329"/>
      <c r="P95" s="329"/>
      <c r="Q95" s="329"/>
      <c r="R95" s="327"/>
      <c r="S95" s="327"/>
      <c r="T95" s="327"/>
      <c r="U95" s="327"/>
      <c r="V95" s="327"/>
      <c r="W95" s="327"/>
      <c r="X95" s="327"/>
      <c r="Y95" s="327"/>
      <c r="Z95" s="327"/>
      <c r="AA95" s="327"/>
      <c r="AB95" s="327"/>
      <c r="AC95" s="327"/>
      <c r="AD95" s="327"/>
      <c r="AE95" s="327"/>
      <c r="AF95" s="327"/>
      <c r="AG95" s="327"/>
      <c r="AH95" s="327"/>
      <c r="AI95" s="327"/>
      <c r="AJ95" s="327"/>
      <c r="AK95" s="327"/>
      <c r="AL95" s="327"/>
      <c r="AM95" s="327"/>
      <c r="AN95" s="327"/>
      <c r="AO95" s="327"/>
      <c r="AP95" s="327"/>
      <c r="AQ95" s="327"/>
      <c r="AR95" s="327"/>
      <c r="AS95" s="327"/>
      <c r="AT95" s="327"/>
      <c r="AU95" s="327"/>
      <c r="AV95" s="327"/>
      <c r="AW95" s="327"/>
      <c r="AX95" s="327"/>
      <c r="AY95" s="327"/>
    </row>
    <row r="96" spans="2:14">
      <c r="B96" s="364"/>
      <c r="C96" s="365"/>
      <c r="D96" s="365"/>
      <c r="E96" s="365"/>
      <c r="F96" s="365"/>
      <c r="G96" s="366"/>
      <c r="H96" s="356"/>
      <c r="I96" s="429"/>
      <c r="J96" s="448" t="s">
        <v>101</v>
      </c>
      <c r="K96" s="449">
        <f>SUM(K97:K106)</f>
        <v>9402371.93</v>
      </c>
      <c r="L96" s="449">
        <f t="shared" ref="L96" si="27">SUM(L97:L106)</f>
        <v>9758507.93</v>
      </c>
      <c r="M96" s="449">
        <f t="shared" ref="M96" si="28">SUM(M97:M106)</f>
        <v>10138117.93</v>
      </c>
      <c r="N96" s="423"/>
    </row>
    <row r="97" spans="2:14">
      <c r="B97" s="364"/>
      <c r="C97" s="365"/>
      <c r="D97" s="365"/>
      <c r="E97" s="365"/>
      <c r="F97" s="365"/>
      <c r="G97" s="366"/>
      <c r="H97" s="356"/>
      <c r="I97" s="429"/>
      <c r="J97" s="452" t="s">
        <v>180</v>
      </c>
      <c r="K97" s="490">
        <v>459061.93</v>
      </c>
      <c r="L97" s="490">
        <f>K97</f>
        <v>459061.93</v>
      </c>
      <c r="M97" s="490">
        <f>L97</f>
        <v>459061.93</v>
      </c>
      <c r="N97" s="423"/>
    </row>
    <row r="98" spans="2:14">
      <c r="B98" s="364"/>
      <c r="C98" s="365"/>
      <c r="D98" s="365"/>
      <c r="E98" s="365"/>
      <c r="F98" s="365"/>
      <c r="G98" s="366"/>
      <c r="H98" s="356"/>
      <c r="I98" s="429"/>
      <c r="J98" s="446" t="s">
        <v>181</v>
      </c>
      <c r="K98" s="490">
        <v>787890</v>
      </c>
      <c r="L98" s="490">
        <v>813288</v>
      </c>
      <c r="M98" s="490">
        <v>849263</v>
      </c>
      <c r="N98" s="423"/>
    </row>
    <row r="99" spans="2:14">
      <c r="B99" s="364"/>
      <c r="C99" s="365"/>
      <c r="D99" s="365"/>
      <c r="E99" s="365"/>
      <c r="F99" s="365"/>
      <c r="G99" s="366"/>
      <c r="H99" s="356"/>
      <c r="I99" s="429"/>
      <c r="J99" s="452" t="s">
        <v>182</v>
      </c>
      <c r="K99" s="490">
        <v>4198</v>
      </c>
      <c r="L99" s="490">
        <v>4198</v>
      </c>
      <c r="M99" s="490">
        <v>4198</v>
      </c>
      <c r="N99" s="423"/>
    </row>
    <row r="100" spans="2:14">
      <c r="B100" s="364"/>
      <c r="C100" s="365"/>
      <c r="D100" s="365"/>
      <c r="E100" s="365"/>
      <c r="F100" s="365"/>
      <c r="G100" s="366"/>
      <c r="H100" s="356"/>
      <c r="I100" s="429"/>
      <c r="J100" s="452" t="s">
        <v>183</v>
      </c>
      <c r="K100" s="490">
        <v>79861</v>
      </c>
      <c r="L100" s="490">
        <v>79861</v>
      </c>
      <c r="M100" s="490">
        <v>79861</v>
      </c>
      <c r="N100" s="423"/>
    </row>
    <row r="101" spans="2:14">
      <c r="B101" s="364"/>
      <c r="C101" s="365"/>
      <c r="D101" s="365"/>
      <c r="E101" s="365"/>
      <c r="F101" s="365"/>
      <c r="G101" s="366"/>
      <c r="H101" s="356"/>
      <c r="I101" s="429"/>
      <c r="J101" s="452" t="s">
        <v>184</v>
      </c>
      <c r="K101" s="490">
        <f>8060945+10416</f>
        <v>8071361</v>
      </c>
      <c r="L101" s="490">
        <v>8402099</v>
      </c>
      <c r="M101" s="490">
        <v>8745734</v>
      </c>
      <c r="N101" s="423"/>
    </row>
    <row r="102" hidden="1" spans="2:14">
      <c r="B102" s="364"/>
      <c r="C102" s="365"/>
      <c r="D102" s="365"/>
      <c r="E102" s="365"/>
      <c r="F102" s="365"/>
      <c r="G102" s="366"/>
      <c r="H102" s="356"/>
      <c r="I102" s="429"/>
      <c r="J102" s="452" t="s">
        <v>189</v>
      </c>
      <c r="K102" s="490">
        <v>0</v>
      </c>
      <c r="L102" s="490">
        <v>0</v>
      </c>
      <c r="M102" s="490">
        <v>0</v>
      </c>
      <c r="N102" s="423"/>
    </row>
    <row r="103" hidden="1" spans="2:14">
      <c r="B103" s="364"/>
      <c r="C103" s="365"/>
      <c r="D103" s="365"/>
      <c r="E103" s="365"/>
      <c r="F103" s="365"/>
      <c r="G103" s="366"/>
      <c r="H103" s="356"/>
      <c r="I103" s="429"/>
      <c r="J103" s="452" t="s">
        <v>191</v>
      </c>
      <c r="K103" s="490">
        <v>0</v>
      </c>
      <c r="L103" s="490">
        <v>0</v>
      </c>
      <c r="M103" s="490">
        <v>0</v>
      </c>
      <c r="N103" s="423"/>
    </row>
    <row r="104" hidden="1" spans="2:14">
      <c r="B104" s="364"/>
      <c r="C104" s="365"/>
      <c r="D104" s="365"/>
      <c r="E104" s="365"/>
      <c r="F104" s="365"/>
      <c r="G104" s="366"/>
      <c r="H104" s="356"/>
      <c r="I104" s="429"/>
      <c r="J104" s="452" t="s">
        <v>192</v>
      </c>
      <c r="K104" s="490"/>
      <c r="L104" s="490"/>
      <c r="M104" s="490"/>
      <c r="N104" s="423"/>
    </row>
    <row r="105" hidden="1" spans="2:14">
      <c r="B105" s="364"/>
      <c r="C105" s="365"/>
      <c r="D105" s="365"/>
      <c r="E105" s="365"/>
      <c r="F105" s="365"/>
      <c r="G105" s="366"/>
      <c r="H105" s="356"/>
      <c r="I105" s="429"/>
      <c r="J105" s="452" t="s">
        <v>193</v>
      </c>
      <c r="K105" s="490"/>
      <c r="L105" s="490"/>
      <c r="M105" s="490"/>
      <c r="N105" s="423"/>
    </row>
    <row r="106" hidden="1" spans="2:14">
      <c r="B106" s="364"/>
      <c r="C106" s="365"/>
      <c r="D106" s="365"/>
      <c r="E106" s="365"/>
      <c r="F106" s="365"/>
      <c r="G106" s="366"/>
      <c r="H106" s="356"/>
      <c r="I106" s="429"/>
      <c r="J106" s="448"/>
      <c r="K106" s="449"/>
      <c r="L106" s="449"/>
      <c r="M106" s="449"/>
      <c r="N106" s="423"/>
    </row>
    <row r="107" hidden="1" spans="2:14">
      <c r="B107" s="364"/>
      <c r="C107" s="365"/>
      <c r="D107" s="365"/>
      <c r="E107" s="365"/>
      <c r="F107" s="365"/>
      <c r="G107" s="366"/>
      <c r="H107" s="356"/>
      <c r="I107" s="429"/>
      <c r="J107" s="421"/>
      <c r="K107" s="422"/>
      <c r="L107" s="422"/>
      <c r="M107" s="422"/>
      <c r="N107" s="423"/>
    </row>
    <row r="108" hidden="1" spans="2:14">
      <c r="B108" s="364"/>
      <c r="C108" s="365"/>
      <c r="D108" s="365"/>
      <c r="E108" s="365"/>
      <c r="F108" s="365"/>
      <c r="G108" s="366"/>
      <c r="H108" s="356"/>
      <c r="I108" s="429"/>
      <c r="J108" s="448"/>
      <c r="K108" s="449"/>
      <c r="L108" s="449"/>
      <c r="M108" s="449"/>
      <c r="N108" s="423"/>
    </row>
    <row r="109" hidden="1" spans="2:14">
      <c r="B109" s="364"/>
      <c r="C109" s="365"/>
      <c r="D109" s="365"/>
      <c r="E109" s="365"/>
      <c r="F109" s="365"/>
      <c r="G109" s="366"/>
      <c r="H109" s="356"/>
      <c r="I109" s="429"/>
      <c r="J109" s="421"/>
      <c r="K109" s="422"/>
      <c r="L109" s="422"/>
      <c r="M109" s="422"/>
      <c r="N109" s="423"/>
    </row>
    <row r="110" hidden="1" spans="2:14">
      <c r="B110" s="459"/>
      <c r="C110" s="460"/>
      <c r="D110" s="460"/>
      <c r="E110" s="460"/>
      <c r="F110" s="460"/>
      <c r="G110" s="460"/>
      <c r="H110" s="356"/>
      <c r="I110" s="429"/>
      <c r="J110" s="448"/>
      <c r="K110" s="449"/>
      <c r="L110" s="449"/>
      <c r="M110" s="449"/>
      <c r="N110" s="423"/>
    </row>
    <row r="111" hidden="1" spans="2:14">
      <c r="B111" s="459"/>
      <c r="C111" s="460"/>
      <c r="D111" s="460"/>
      <c r="E111" s="460"/>
      <c r="F111" s="460"/>
      <c r="G111" s="460"/>
      <c r="H111" s="356"/>
      <c r="I111" s="429"/>
      <c r="J111" s="421"/>
      <c r="K111" s="422"/>
      <c r="L111" s="422"/>
      <c r="M111" s="422"/>
      <c r="N111" s="423"/>
    </row>
    <row r="112" hidden="1" spans="2:14">
      <c r="B112" s="459"/>
      <c r="C112" s="460"/>
      <c r="D112" s="460"/>
      <c r="E112" s="460"/>
      <c r="F112" s="460"/>
      <c r="G112" s="460"/>
      <c r="H112" s="356"/>
      <c r="I112" s="429"/>
      <c r="J112" s="448"/>
      <c r="K112" s="449"/>
      <c r="L112" s="449"/>
      <c r="M112" s="449"/>
      <c r="N112" s="423"/>
    </row>
    <row r="113" hidden="1" spans="2:14">
      <c r="B113" s="459"/>
      <c r="C113" s="460"/>
      <c r="D113" s="460"/>
      <c r="E113" s="460"/>
      <c r="F113" s="460"/>
      <c r="G113" s="460"/>
      <c r="H113" s="356"/>
      <c r="I113" s="429"/>
      <c r="J113" s="421"/>
      <c r="K113" s="422"/>
      <c r="L113" s="422"/>
      <c r="M113" s="422"/>
      <c r="N113" s="423"/>
    </row>
    <row r="114" s="328" customFormat="1" hidden="1" spans="2:51">
      <c r="B114" s="471" t="s">
        <v>102</v>
      </c>
      <c r="C114" s="472"/>
      <c r="D114" s="472"/>
      <c r="E114" s="472"/>
      <c r="F114" s="472"/>
      <c r="G114" s="472"/>
      <c r="H114" s="473" t="s">
        <v>103</v>
      </c>
      <c r="I114" s="491" t="s">
        <v>98</v>
      </c>
      <c r="J114" s="487"/>
      <c r="K114" s="488">
        <f>K115+K116+K117</f>
        <v>0</v>
      </c>
      <c r="L114" s="488">
        <f t="shared" ref="L114:M114" si="29">L115+L116+L117</f>
        <v>0</v>
      </c>
      <c r="M114" s="488">
        <f t="shared" si="29"/>
        <v>0</v>
      </c>
      <c r="N114" s="489" t="s">
        <v>46</v>
      </c>
      <c r="O114" s="329"/>
      <c r="P114" s="329"/>
      <c r="Q114" s="329"/>
      <c r="R114" s="327"/>
      <c r="S114" s="327"/>
      <c r="T114" s="327"/>
      <c r="U114" s="327"/>
      <c r="V114" s="327"/>
      <c r="W114" s="327"/>
      <c r="X114" s="327"/>
      <c r="Y114" s="327"/>
      <c r="Z114" s="327"/>
      <c r="AA114" s="327"/>
      <c r="AB114" s="327"/>
      <c r="AC114" s="327"/>
      <c r="AD114" s="327"/>
      <c r="AE114" s="327"/>
      <c r="AF114" s="327"/>
      <c r="AG114" s="327"/>
      <c r="AH114" s="327"/>
      <c r="AI114" s="327"/>
      <c r="AJ114" s="327"/>
      <c r="AK114" s="327"/>
      <c r="AL114" s="327"/>
      <c r="AM114" s="327"/>
      <c r="AN114" s="327"/>
      <c r="AO114" s="327"/>
      <c r="AP114" s="327"/>
      <c r="AQ114" s="327"/>
      <c r="AR114" s="327"/>
      <c r="AS114" s="327"/>
      <c r="AT114" s="327"/>
      <c r="AU114" s="327"/>
      <c r="AV114" s="327"/>
      <c r="AW114" s="327"/>
      <c r="AX114" s="327"/>
      <c r="AY114" s="327"/>
    </row>
    <row r="115" hidden="1" spans="2:14">
      <c r="B115" s="364"/>
      <c r="C115" s="365"/>
      <c r="D115" s="365"/>
      <c r="E115" s="365"/>
      <c r="F115" s="365"/>
      <c r="G115" s="366"/>
      <c r="H115" s="359"/>
      <c r="I115" s="430"/>
      <c r="J115" s="421"/>
      <c r="K115" s="422"/>
      <c r="L115" s="422"/>
      <c r="M115" s="422"/>
      <c r="N115" s="423"/>
    </row>
    <row r="116" hidden="1" spans="2:14">
      <c r="B116" s="364"/>
      <c r="C116" s="365"/>
      <c r="D116" s="365"/>
      <c r="E116" s="365"/>
      <c r="F116" s="365"/>
      <c r="G116" s="366"/>
      <c r="H116" s="356"/>
      <c r="I116" s="429"/>
      <c r="J116" s="428"/>
      <c r="K116" s="422"/>
      <c r="L116" s="422"/>
      <c r="M116" s="422"/>
      <c r="N116" s="423"/>
    </row>
    <row r="117" hidden="1" spans="2:14">
      <c r="B117" s="364"/>
      <c r="C117" s="365"/>
      <c r="D117" s="365"/>
      <c r="E117" s="365"/>
      <c r="F117" s="365"/>
      <c r="G117" s="366"/>
      <c r="H117" s="356"/>
      <c r="I117" s="429"/>
      <c r="J117" s="428"/>
      <c r="K117" s="422"/>
      <c r="L117" s="422"/>
      <c r="M117" s="422"/>
      <c r="N117" s="423"/>
    </row>
    <row r="118" s="326" customFormat="1" spans="1:71">
      <c r="A118" s="327"/>
      <c r="B118" s="474" t="s">
        <v>104</v>
      </c>
      <c r="C118" s="475"/>
      <c r="D118" s="475"/>
      <c r="E118" s="475"/>
      <c r="F118" s="475"/>
      <c r="G118" s="475"/>
      <c r="H118" s="385" t="s">
        <v>105</v>
      </c>
      <c r="I118" s="442" t="s">
        <v>106</v>
      </c>
      <c r="J118" s="443"/>
      <c r="K118" s="444">
        <f>K119+K124+K127</f>
        <v>1288300</v>
      </c>
      <c r="L118" s="444">
        <f t="shared" ref="L118:M118" si="30">L119+L124+L127</f>
        <v>1285300</v>
      </c>
      <c r="M118" s="444">
        <f t="shared" si="30"/>
        <v>1285300</v>
      </c>
      <c r="N118" s="480" t="s">
        <v>46</v>
      </c>
      <c r="O118" s="329"/>
      <c r="P118" s="329"/>
      <c r="Q118" s="329"/>
      <c r="R118" s="327"/>
      <c r="S118" s="327"/>
      <c r="T118" s="327"/>
      <c r="U118" s="327"/>
      <c r="V118" s="327"/>
      <c r="W118" s="327"/>
      <c r="X118" s="327"/>
      <c r="Y118" s="327"/>
      <c r="Z118" s="327"/>
      <c r="AA118" s="327"/>
      <c r="AB118" s="327"/>
      <c r="AC118" s="327"/>
      <c r="AD118" s="327"/>
      <c r="AE118" s="327"/>
      <c r="AF118" s="327"/>
      <c r="AG118" s="327"/>
      <c r="AH118" s="327"/>
      <c r="AI118" s="327"/>
      <c r="AJ118" s="327"/>
      <c r="AK118" s="327"/>
      <c r="AL118" s="327"/>
      <c r="AM118" s="327"/>
      <c r="AN118" s="327"/>
      <c r="AO118" s="327"/>
      <c r="AP118" s="327"/>
      <c r="AQ118" s="327"/>
      <c r="AR118" s="327"/>
      <c r="AS118" s="327"/>
      <c r="AT118" s="327"/>
      <c r="AU118" s="327"/>
      <c r="AV118" s="327"/>
      <c r="AW118" s="327"/>
      <c r="AX118" s="327"/>
      <c r="AY118" s="327"/>
      <c r="AZ118" s="327"/>
      <c r="BA118" s="327"/>
      <c r="BB118" s="327"/>
      <c r="BC118" s="327"/>
      <c r="BD118" s="327"/>
      <c r="BE118" s="327"/>
      <c r="BF118" s="327"/>
      <c r="BG118" s="327"/>
      <c r="BH118" s="327"/>
      <c r="BI118" s="327"/>
      <c r="BJ118" s="327"/>
      <c r="BK118" s="327"/>
      <c r="BL118" s="327"/>
      <c r="BM118" s="327"/>
      <c r="BN118" s="327"/>
      <c r="BO118" s="327"/>
      <c r="BP118" s="327"/>
      <c r="BQ118" s="327"/>
      <c r="BR118" s="327"/>
      <c r="BS118" s="327"/>
    </row>
    <row r="119" s="328" customFormat="1" spans="2:51">
      <c r="B119" s="476" t="s">
        <v>107</v>
      </c>
      <c r="C119" s="477"/>
      <c r="D119" s="477"/>
      <c r="E119" s="477"/>
      <c r="F119" s="477"/>
      <c r="G119" s="477"/>
      <c r="H119" s="470" t="s">
        <v>108</v>
      </c>
      <c r="I119" s="486" t="s">
        <v>109</v>
      </c>
      <c r="J119" s="487"/>
      <c r="K119" s="488">
        <f>K120</f>
        <v>1275300</v>
      </c>
      <c r="L119" s="488">
        <f t="shared" ref="L119:M119" si="31">L120</f>
        <v>1275300</v>
      </c>
      <c r="M119" s="488">
        <f t="shared" si="31"/>
        <v>1275300</v>
      </c>
      <c r="N119" s="489" t="s">
        <v>46</v>
      </c>
      <c r="O119" s="329"/>
      <c r="P119" s="329"/>
      <c r="Q119" s="329"/>
      <c r="R119" s="327"/>
      <c r="S119" s="327"/>
      <c r="T119" s="327"/>
      <c r="U119" s="327"/>
      <c r="V119" s="327"/>
      <c r="W119" s="327"/>
      <c r="X119" s="327"/>
      <c r="Y119" s="327"/>
      <c r="Z119" s="327"/>
      <c r="AA119" s="327"/>
      <c r="AB119" s="327"/>
      <c r="AC119" s="327"/>
      <c r="AD119" s="327"/>
      <c r="AE119" s="327"/>
      <c r="AF119" s="327"/>
      <c r="AG119" s="327"/>
      <c r="AH119" s="327"/>
      <c r="AI119" s="327"/>
      <c r="AJ119" s="327"/>
      <c r="AK119" s="327"/>
      <c r="AL119" s="327"/>
      <c r="AM119" s="327"/>
      <c r="AN119" s="327"/>
      <c r="AO119" s="327"/>
      <c r="AP119" s="327"/>
      <c r="AQ119" s="327"/>
      <c r="AR119" s="327"/>
      <c r="AS119" s="327"/>
      <c r="AT119" s="327"/>
      <c r="AU119" s="327"/>
      <c r="AV119" s="327"/>
      <c r="AW119" s="327"/>
      <c r="AX119" s="327"/>
      <c r="AY119" s="327"/>
    </row>
    <row r="120" spans="2:14">
      <c r="B120" s="364"/>
      <c r="C120" s="365"/>
      <c r="D120" s="365"/>
      <c r="E120" s="365"/>
      <c r="F120" s="365"/>
      <c r="G120" s="366"/>
      <c r="H120" s="348"/>
      <c r="I120" s="420"/>
      <c r="J120" s="448" t="s">
        <v>110</v>
      </c>
      <c r="K120" s="449">
        <f>K122+K121</f>
        <v>1275300</v>
      </c>
      <c r="L120" s="449">
        <f t="shared" ref="L120:M120" si="32">L122+L121</f>
        <v>1275300</v>
      </c>
      <c r="M120" s="449">
        <f t="shared" si="32"/>
        <v>1275300</v>
      </c>
      <c r="N120" s="423"/>
    </row>
    <row r="121" spans="2:14">
      <c r="B121" s="364"/>
      <c r="C121" s="365"/>
      <c r="D121" s="365"/>
      <c r="E121" s="365"/>
      <c r="F121" s="365"/>
      <c r="G121" s="366"/>
      <c r="H121" s="348"/>
      <c r="I121" s="420"/>
      <c r="J121" s="446" t="s">
        <v>181</v>
      </c>
      <c r="K121" s="490">
        <v>1275300</v>
      </c>
      <c r="L121" s="490">
        <v>1275300</v>
      </c>
      <c r="M121" s="490">
        <v>1275300</v>
      </c>
      <c r="N121" s="423"/>
    </row>
    <row r="122" hidden="1" spans="2:14">
      <c r="B122" s="364"/>
      <c r="C122" s="365"/>
      <c r="D122" s="365"/>
      <c r="E122" s="365"/>
      <c r="F122" s="365"/>
      <c r="G122" s="366"/>
      <c r="H122" s="348"/>
      <c r="I122" s="420"/>
      <c r="J122" s="452" t="s">
        <v>193</v>
      </c>
      <c r="K122" s="490"/>
      <c r="L122" s="490"/>
      <c r="M122" s="490"/>
      <c r="N122" s="423"/>
    </row>
    <row r="123" hidden="1" spans="2:14">
      <c r="B123" s="364"/>
      <c r="C123" s="365"/>
      <c r="D123" s="365"/>
      <c r="E123" s="365"/>
      <c r="F123" s="365"/>
      <c r="G123" s="366"/>
      <c r="H123" s="348"/>
      <c r="I123" s="420"/>
      <c r="J123" s="421"/>
      <c r="K123" s="422"/>
      <c r="L123" s="422"/>
      <c r="M123" s="422"/>
      <c r="N123" s="423"/>
    </row>
    <row r="124" s="328" customFormat="1" ht="25.5" customHeight="1" spans="2:51">
      <c r="B124" s="476" t="s">
        <v>111</v>
      </c>
      <c r="C124" s="477"/>
      <c r="D124" s="477"/>
      <c r="E124" s="477"/>
      <c r="F124" s="477"/>
      <c r="G124" s="477"/>
      <c r="H124" s="470" t="s">
        <v>112</v>
      </c>
      <c r="I124" s="486" t="s">
        <v>113</v>
      </c>
      <c r="J124" s="487"/>
      <c r="K124" s="488">
        <f>K125+K126</f>
        <v>13000</v>
      </c>
      <c r="L124" s="488">
        <f t="shared" ref="L124:M124" si="33">L125</f>
        <v>10000</v>
      </c>
      <c r="M124" s="488">
        <f t="shared" si="33"/>
        <v>10000</v>
      </c>
      <c r="N124" s="489" t="s">
        <v>46</v>
      </c>
      <c r="O124" s="329"/>
      <c r="P124" s="329"/>
      <c r="Q124" s="329"/>
      <c r="R124" s="327"/>
      <c r="S124" s="327"/>
      <c r="T124" s="327"/>
      <c r="U124" s="327"/>
      <c r="V124" s="327"/>
      <c r="W124" s="327"/>
      <c r="X124" s="327"/>
      <c r="Y124" s="327"/>
      <c r="Z124" s="327"/>
      <c r="AA124" s="327"/>
      <c r="AB124" s="327"/>
      <c r="AC124" s="327"/>
      <c r="AD124" s="327"/>
      <c r="AE124" s="327"/>
      <c r="AF124" s="327"/>
      <c r="AG124" s="327"/>
      <c r="AH124" s="327"/>
      <c r="AI124" s="327"/>
      <c r="AJ124" s="327"/>
      <c r="AK124" s="327"/>
      <c r="AL124" s="327"/>
      <c r="AM124" s="327"/>
      <c r="AN124" s="327"/>
      <c r="AO124" s="327"/>
      <c r="AP124" s="327"/>
      <c r="AQ124" s="327"/>
      <c r="AR124" s="327"/>
      <c r="AS124" s="327"/>
      <c r="AT124" s="327"/>
      <c r="AU124" s="327"/>
      <c r="AV124" s="327"/>
      <c r="AW124" s="327"/>
      <c r="AX124" s="327"/>
      <c r="AY124" s="327"/>
    </row>
    <row r="125" spans="2:14">
      <c r="B125" s="364"/>
      <c r="C125" s="365"/>
      <c r="D125" s="365"/>
      <c r="E125" s="365"/>
      <c r="F125" s="365"/>
      <c r="G125" s="366"/>
      <c r="H125" s="348"/>
      <c r="I125" s="420"/>
      <c r="J125" s="452" t="s">
        <v>180</v>
      </c>
      <c r="K125" s="422">
        <v>10000</v>
      </c>
      <c r="L125" s="422">
        <f>K125</f>
        <v>10000</v>
      </c>
      <c r="M125" s="422">
        <f>L125</f>
        <v>10000</v>
      </c>
      <c r="N125" s="423"/>
    </row>
    <row r="126" spans="2:14">
      <c r="B126" s="364"/>
      <c r="C126" s="365"/>
      <c r="D126" s="365"/>
      <c r="E126" s="365"/>
      <c r="F126" s="365"/>
      <c r="G126" s="365"/>
      <c r="H126" s="348"/>
      <c r="I126" s="420"/>
      <c r="J126" s="452" t="s">
        <v>195</v>
      </c>
      <c r="K126" s="422">
        <v>3000</v>
      </c>
      <c r="L126" s="422"/>
      <c r="M126" s="422"/>
      <c r="N126" s="423"/>
    </row>
    <row r="127" s="328" customFormat="1" ht="21.75" customHeight="1" spans="2:51">
      <c r="B127" s="476" t="s">
        <v>114</v>
      </c>
      <c r="C127" s="477"/>
      <c r="D127" s="477"/>
      <c r="E127" s="477"/>
      <c r="F127" s="477"/>
      <c r="G127" s="477"/>
      <c r="H127" s="470" t="s">
        <v>115</v>
      </c>
      <c r="I127" s="486" t="s">
        <v>116</v>
      </c>
      <c r="J127" s="487"/>
      <c r="K127" s="488">
        <f>K128</f>
        <v>0</v>
      </c>
      <c r="L127" s="488">
        <f t="shared" ref="L127:M127" si="34">L128</f>
        <v>0</v>
      </c>
      <c r="M127" s="488">
        <f t="shared" si="34"/>
        <v>0</v>
      </c>
      <c r="N127" s="489" t="s">
        <v>46</v>
      </c>
      <c r="O127" s="329"/>
      <c r="P127" s="329"/>
      <c r="Q127" s="329"/>
      <c r="R127" s="327"/>
      <c r="S127" s="327"/>
      <c r="T127" s="327"/>
      <c r="U127" s="327"/>
      <c r="V127" s="327"/>
      <c r="W127" s="327"/>
      <c r="X127" s="327"/>
      <c r="Y127" s="327"/>
      <c r="Z127" s="327"/>
      <c r="AA127" s="327"/>
      <c r="AB127" s="327"/>
      <c r="AC127" s="327"/>
      <c r="AD127" s="327"/>
      <c r="AE127" s="327"/>
      <c r="AF127" s="327"/>
      <c r="AG127" s="327"/>
      <c r="AH127" s="327"/>
      <c r="AI127" s="327"/>
      <c r="AJ127" s="327"/>
      <c r="AK127" s="327"/>
      <c r="AL127" s="327"/>
      <c r="AM127" s="327"/>
      <c r="AN127" s="327"/>
      <c r="AO127" s="327"/>
      <c r="AP127" s="327"/>
      <c r="AQ127" s="327"/>
      <c r="AR127" s="327"/>
      <c r="AS127" s="327"/>
      <c r="AT127" s="327"/>
      <c r="AU127" s="327"/>
      <c r="AV127" s="327"/>
      <c r="AW127" s="327"/>
      <c r="AX127" s="327"/>
      <c r="AY127" s="327"/>
    </row>
    <row r="128" spans="2:14">
      <c r="B128" s="364"/>
      <c r="C128" s="365"/>
      <c r="D128" s="365"/>
      <c r="E128" s="365"/>
      <c r="F128" s="365"/>
      <c r="G128" s="366"/>
      <c r="H128" s="348"/>
      <c r="I128" s="420"/>
      <c r="J128" s="428"/>
      <c r="K128" s="422"/>
      <c r="L128" s="422"/>
      <c r="M128" s="422"/>
      <c r="N128" s="423"/>
    </row>
    <row r="129" s="326" customFormat="1" spans="1:71">
      <c r="A129" s="327"/>
      <c r="B129" s="474" t="s">
        <v>117</v>
      </c>
      <c r="C129" s="475"/>
      <c r="D129" s="475"/>
      <c r="E129" s="475"/>
      <c r="F129" s="475"/>
      <c r="G129" s="475"/>
      <c r="H129" s="385" t="s">
        <v>118</v>
      </c>
      <c r="I129" s="442" t="s">
        <v>46</v>
      </c>
      <c r="J129" s="443"/>
      <c r="K129" s="444">
        <f>K130</f>
        <v>0</v>
      </c>
      <c r="L129" s="444">
        <f t="shared" ref="L129:M129" si="35">L130</f>
        <v>0</v>
      </c>
      <c r="M129" s="444">
        <f t="shared" si="35"/>
        <v>0</v>
      </c>
      <c r="N129" s="480" t="s">
        <v>46</v>
      </c>
      <c r="O129" s="329"/>
      <c r="P129" s="329"/>
      <c r="Q129" s="329"/>
      <c r="R129" s="327"/>
      <c r="S129" s="327"/>
      <c r="T129" s="327"/>
      <c r="U129" s="327"/>
      <c r="V129" s="327"/>
      <c r="W129" s="327"/>
      <c r="X129" s="327"/>
      <c r="Y129" s="327"/>
      <c r="Z129" s="327"/>
      <c r="AA129" s="327"/>
      <c r="AB129" s="327"/>
      <c r="AC129" s="327"/>
      <c r="AD129" s="327"/>
      <c r="AE129" s="327"/>
      <c r="AF129" s="327"/>
      <c r="AG129" s="327"/>
      <c r="AH129" s="327"/>
      <c r="AI129" s="327"/>
      <c r="AJ129" s="327"/>
      <c r="AK129" s="327"/>
      <c r="AL129" s="327"/>
      <c r="AM129" s="327"/>
      <c r="AN129" s="327"/>
      <c r="AO129" s="327"/>
      <c r="AP129" s="327"/>
      <c r="AQ129" s="327"/>
      <c r="AR129" s="327"/>
      <c r="AS129" s="327"/>
      <c r="AT129" s="327"/>
      <c r="AU129" s="327"/>
      <c r="AV129" s="327"/>
      <c r="AW129" s="327"/>
      <c r="AX129" s="327"/>
      <c r="AY129" s="327"/>
      <c r="AZ129" s="327"/>
      <c r="BA129" s="327"/>
      <c r="BB129" s="327"/>
      <c r="BC129" s="327"/>
      <c r="BD129" s="327"/>
      <c r="BE129" s="327"/>
      <c r="BF129" s="327"/>
      <c r="BG129" s="327"/>
      <c r="BH129" s="327"/>
      <c r="BI129" s="327"/>
      <c r="BJ129" s="327"/>
      <c r="BK129" s="327"/>
      <c r="BL129" s="327"/>
      <c r="BM129" s="327"/>
      <c r="BN129" s="327"/>
      <c r="BO129" s="327"/>
      <c r="BP129" s="327"/>
      <c r="BQ129" s="327"/>
      <c r="BR129" s="327"/>
      <c r="BS129" s="327"/>
    </row>
    <row r="130" ht="40.5" customHeight="1" spans="2:14">
      <c r="B130" s="362" t="s">
        <v>119</v>
      </c>
      <c r="C130" s="363"/>
      <c r="D130" s="363"/>
      <c r="E130" s="363"/>
      <c r="F130" s="363"/>
      <c r="G130" s="363"/>
      <c r="H130" s="348" t="s">
        <v>120</v>
      </c>
      <c r="I130" s="420" t="s">
        <v>121</v>
      </c>
      <c r="J130" s="428"/>
      <c r="K130" s="422"/>
      <c r="L130" s="422"/>
      <c r="M130" s="422"/>
      <c r="N130" s="423" t="s">
        <v>46</v>
      </c>
    </row>
    <row r="131" s="326" customFormat="1" spans="1:71">
      <c r="A131" s="327"/>
      <c r="B131" s="474" t="s">
        <v>122</v>
      </c>
      <c r="C131" s="475"/>
      <c r="D131" s="475"/>
      <c r="E131" s="475"/>
      <c r="F131" s="475"/>
      <c r="G131" s="475"/>
      <c r="H131" s="385" t="s">
        <v>123</v>
      </c>
      <c r="I131" s="442" t="s">
        <v>46</v>
      </c>
      <c r="J131" s="443"/>
      <c r="K131" s="444">
        <f>K132+K134+K136+K146</f>
        <v>10341854.88</v>
      </c>
      <c r="L131" s="444">
        <f t="shared" ref="L131:M131" si="36">L132+L134+L136+L146</f>
        <v>10086354.88</v>
      </c>
      <c r="M131" s="444">
        <f t="shared" si="36"/>
        <v>10184354.88</v>
      </c>
      <c r="N131" s="480"/>
      <c r="O131" s="329"/>
      <c r="P131" s="329"/>
      <c r="Q131" s="329"/>
      <c r="R131" s="327"/>
      <c r="S131" s="327"/>
      <c r="T131" s="327"/>
      <c r="U131" s="327"/>
      <c r="V131" s="327"/>
      <c r="W131" s="327"/>
      <c r="X131" s="327"/>
      <c r="Y131" s="327"/>
      <c r="Z131" s="327"/>
      <c r="AA131" s="327"/>
      <c r="AB131" s="327"/>
      <c r="AC131" s="327"/>
      <c r="AD131" s="327"/>
      <c r="AE131" s="327"/>
      <c r="AF131" s="327"/>
      <c r="AG131" s="327"/>
      <c r="AH131" s="327"/>
      <c r="AI131" s="327"/>
      <c r="AJ131" s="327"/>
      <c r="AK131" s="327"/>
      <c r="AL131" s="327"/>
      <c r="AM131" s="327"/>
      <c r="AN131" s="327"/>
      <c r="AO131" s="327"/>
      <c r="AP131" s="327"/>
      <c r="AQ131" s="327"/>
      <c r="AR131" s="327"/>
      <c r="AS131" s="327"/>
      <c r="AT131" s="327"/>
      <c r="AU131" s="327"/>
      <c r="AV131" s="327"/>
      <c r="AW131" s="327"/>
      <c r="AX131" s="327"/>
      <c r="AY131" s="327"/>
      <c r="AZ131" s="327"/>
      <c r="BA131" s="327"/>
      <c r="BB131" s="327"/>
      <c r="BC131" s="327"/>
      <c r="BD131" s="327"/>
      <c r="BE131" s="327"/>
      <c r="BF131" s="327"/>
      <c r="BG131" s="327"/>
      <c r="BH131" s="327"/>
      <c r="BI131" s="327"/>
      <c r="BJ131" s="327"/>
      <c r="BK131" s="327"/>
      <c r="BL131" s="327"/>
      <c r="BM131" s="327"/>
      <c r="BN131" s="327"/>
      <c r="BO131" s="327"/>
      <c r="BP131" s="327"/>
      <c r="BQ131" s="327"/>
      <c r="BR131" s="327"/>
      <c r="BS131" s="327"/>
    </row>
    <row r="132" s="328" customFormat="1" hidden="1" spans="2:51">
      <c r="B132" s="476" t="s">
        <v>124</v>
      </c>
      <c r="C132" s="477"/>
      <c r="D132" s="477"/>
      <c r="E132" s="477"/>
      <c r="F132" s="477"/>
      <c r="G132" s="477"/>
      <c r="H132" s="470" t="s">
        <v>125</v>
      </c>
      <c r="I132" s="486" t="s">
        <v>126</v>
      </c>
      <c r="J132" s="487"/>
      <c r="K132" s="488">
        <f>K133</f>
        <v>0</v>
      </c>
      <c r="L132" s="488">
        <f t="shared" ref="L132:M132" si="37">L133</f>
        <v>0</v>
      </c>
      <c r="M132" s="488">
        <f t="shared" si="37"/>
        <v>0</v>
      </c>
      <c r="N132" s="489"/>
      <c r="O132" s="329"/>
      <c r="P132" s="329"/>
      <c r="Q132" s="329"/>
      <c r="R132" s="327"/>
      <c r="S132" s="327"/>
      <c r="T132" s="327"/>
      <c r="U132" s="327"/>
      <c r="V132" s="327"/>
      <c r="W132" s="327"/>
      <c r="X132" s="327"/>
      <c r="Y132" s="327"/>
      <c r="Z132" s="327"/>
      <c r="AA132" s="327"/>
      <c r="AB132" s="327"/>
      <c r="AC132" s="327"/>
      <c r="AD132" s="327"/>
      <c r="AE132" s="327"/>
      <c r="AF132" s="327"/>
      <c r="AG132" s="327"/>
      <c r="AH132" s="327"/>
      <c r="AI132" s="327"/>
      <c r="AJ132" s="327"/>
      <c r="AK132" s="327"/>
      <c r="AL132" s="327"/>
      <c r="AM132" s="327"/>
      <c r="AN132" s="327"/>
      <c r="AO132" s="327"/>
      <c r="AP132" s="327"/>
      <c r="AQ132" s="327"/>
      <c r="AR132" s="327"/>
      <c r="AS132" s="327"/>
      <c r="AT132" s="327"/>
      <c r="AU132" s="327"/>
      <c r="AV132" s="327"/>
      <c r="AW132" s="327"/>
      <c r="AX132" s="327"/>
      <c r="AY132" s="327"/>
    </row>
    <row r="133" hidden="1" spans="2:14">
      <c r="B133" s="364"/>
      <c r="C133" s="365"/>
      <c r="D133" s="365"/>
      <c r="E133" s="365"/>
      <c r="F133" s="365"/>
      <c r="G133" s="366"/>
      <c r="H133" s="348"/>
      <c r="I133" s="420"/>
      <c r="J133" s="428"/>
      <c r="K133" s="422"/>
      <c r="L133" s="422"/>
      <c r="M133" s="422"/>
      <c r="N133" s="423"/>
    </row>
    <row r="134" s="328" customFormat="1" ht="28.5" hidden="1" customHeight="1" spans="2:51">
      <c r="B134" s="476" t="s">
        <v>127</v>
      </c>
      <c r="C134" s="477"/>
      <c r="D134" s="477"/>
      <c r="E134" s="477"/>
      <c r="F134" s="477"/>
      <c r="G134" s="477"/>
      <c r="H134" s="473" t="s">
        <v>128</v>
      </c>
      <c r="I134" s="491" t="s">
        <v>129</v>
      </c>
      <c r="J134" s="487"/>
      <c r="K134" s="488">
        <f>K135</f>
        <v>0</v>
      </c>
      <c r="L134" s="488">
        <f t="shared" ref="L134:M134" si="38">L135</f>
        <v>0</v>
      </c>
      <c r="M134" s="488">
        <f t="shared" si="38"/>
        <v>0</v>
      </c>
      <c r="N134" s="489"/>
      <c r="O134" s="329"/>
      <c r="P134" s="329"/>
      <c r="Q134" s="329"/>
      <c r="R134" s="327"/>
      <c r="S134" s="327"/>
      <c r="T134" s="327"/>
      <c r="U134" s="327"/>
      <c r="V134" s="327"/>
      <c r="W134" s="327"/>
      <c r="X134" s="327"/>
      <c r="Y134" s="327"/>
      <c r="Z134" s="327"/>
      <c r="AA134" s="327"/>
      <c r="AB134" s="327"/>
      <c r="AC134" s="327"/>
      <c r="AD134" s="327"/>
      <c r="AE134" s="327"/>
      <c r="AF134" s="327"/>
      <c r="AG134" s="327"/>
      <c r="AH134" s="327"/>
      <c r="AI134" s="327"/>
      <c r="AJ134" s="327"/>
      <c r="AK134" s="327"/>
      <c r="AL134" s="327"/>
      <c r="AM134" s="327"/>
      <c r="AN134" s="327"/>
      <c r="AO134" s="327"/>
      <c r="AP134" s="327"/>
      <c r="AQ134" s="327"/>
      <c r="AR134" s="327"/>
      <c r="AS134" s="327"/>
      <c r="AT134" s="327"/>
      <c r="AU134" s="327"/>
      <c r="AV134" s="327"/>
      <c r="AW134" s="327"/>
      <c r="AX134" s="327"/>
      <c r="AY134" s="327"/>
    </row>
    <row r="135" ht="15.75" hidden="1" customHeight="1" spans="2:14">
      <c r="B135" s="364"/>
      <c r="C135" s="365"/>
      <c r="D135" s="365"/>
      <c r="E135" s="365"/>
      <c r="F135" s="365"/>
      <c r="G135" s="366"/>
      <c r="H135" s="367"/>
      <c r="I135" s="433"/>
      <c r="J135" s="428"/>
      <c r="K135" s="422"/>
      <c r="L135" s="422"/>
      <c r="M135" s="422"/>
      <c r="N135" s="423"/>
    </row>
    <row r="136" s="328" customFormat="1" ht="24" hidden="1" customHeight="1" spans="2:51">
      <c r="B136" s="476" t="s">
        <v>130</v>
      </c>
      <c r="C136" s="477"/>
      <c r="D136" s="477"/>
      <c r="E136" s="477"/>
      <c r="F136" s="477"/>
      <c r="G136" s="477"/>
      <c r="H136" s="493" t="s">
        <v>131</v>
      </c>
      <c r="I136" s="501" t="s">
        <v>132</v>
      </c>
      <c r="J136" s="487"/>
      <c r="K136" s="488">
        <f>K137</f>
        <v>0</v>
      </c>
      <c r="L136" s="488">
        <f t="shared" ref="L136:M136" si="39">L137</f>
        <v>0</v>
      </c>
      <c r="M136" s="488">
        <f t="shared" si="39"/>
        <v>0</v>
      </c>
      <c r="N136" s="489"/>
      <c r="O136" s="329"/>
      <c r="P136" s="329"/>
      <c r="Q136" s="329"/>
      <c r="R136" s="327"/>
      <c r="S136" s="327"/>
      <c r="T136" s="327"/>
      <c r="U136" s="327"/>
      <c r="V136" s="327"/>
      <c r="W136" s="327"/>
      <c r="X136" s="327"/>
      <c r="Y136" s="327"/>
      <c r="Z136" s="327"/>
      <c r="AA136" s="327"/>
      <c r="AB136" s="327"/>
      <c r="AC136" s="327"/>
      <c r="AD136" s="327"/>
      <c r="AE136" s="327"/>
      <c r="AF136" s="327"/>
      <c r="AG136" s="327"/>
      <c r="AH136" s="327"/>
      <c r="AI136" s="327"/>
      <c r="AJ136" s="327"/>
      <c r="AK136" s="327"/>
      <c r="AL136" s="327"/>
      <c r="AM136" s="327"/>
      <c r="AN136" s="327"/>
      <c r="AO136" s="327"/>
      <c r="AP136" s="327"/>
      <c r="AQ136" s="327"/>
      <c r="AR136" s="327"/>
      <c r="AS136" s="327"/>
      <c r="AT136" s="327"/>
      <c r="AU136" s="327"/>
      <c r="AV136" s="327"/>
      <c r="AW136" s="327"/>
      <c r="AX136" s="327"/>
      <c r="AY136" s="327"/>
    </row>
    <row r="137" hidden="1" spans="2:14">
      <c r="B137" s="364"/>
      <c r="C137" s="365"/>
      <c r="D137" s="365"/>
      <c r="E137" s="365"/>
      <c r="F137" s="365"/>
      <c r="G137" s="366"/>
      <c r="H137" s="367"/>
      <c r="I137" s="433"/>
      <c r="J137" s="448" t="s">
        <v>133</v>
      </c>
      <c r="K137" s="449">
        <f>K138</f>
        <v>0</v>
      </c>
      <c r="L137" s="449">
        <f t="shared" ref="L137:M137" si="40">L138</f>
        <v>0</v>
      </c>
      <c r="M137" s="449">
        <f t="shared" si="40"/>
        <v>0</v>
      </c>
      <c r="N137" s="423"/>
    </row>
    <row r="138" hidden="1" spans="2:14">
      <c r="B138" s="364"/>
      <c r="C138" s="365"/>
      <c r="D138" s="365"/>
      <c r="E138" s="365"/>
      <c r="F138" s="365"/>
      <c r="G138" s="366"/>
      <c r="H138" s="367"/>
      <c r="I138" s="433"/>
      <c r="J138" s="448">
        <v>1211121130</v>
      </c>
      <c r="K138" s="422"/>
      <c r="L138" s="422"/>
      <c r="M138" s="422"/>
      <c r="N138" s="423"/>
    </row>
    <row r="139" hidden="1" spans="2:14">
      <c r="B139" s="364"/>
      <c r="C139" s="365"/>
      <c r="D139" s="365"/>
      <c r="E139" s="365"/>
      <c r="F139" s="365"/>
      <c r="G139" s="366"/>
      <c r="H139" s="367"/>
      <c r="I139" s="433"/>
      <c r="J139" s="421"/>
      <c r="K139" s="422"/>
      <c r="L139" s="422"/>
      <c r="M139" s="422"/>
      <c r="N139" s="423"/>
    </row>
    <row r="140" hidden="1" spans="2:14">
      <c r="B140" s="364"/>
      <c r="C140" s="365"/>
      <c r="D140" s="365"/>
      <c r="E140" s="365"/>
      <c r="F140" s="365"/>
      <c r="G140" s="366"/>
      <c r="H140" s="367"/>
      <c r="I140" s="433"/>
      <c r="J140" s="421"/>
      <c r="K140" s="422"/>
      <c r="L140" s="422"/>
      <c r="M140" s="422"/>
      <c r="N140" s="423"/>
    </row>
    <row r="141" hidden="1" spans="2:14">
      <c r="B141" s="364"/>
      <c r="C141" s="365"/>
      <c r="D141" s="365"/>
      <c r="E141" s="365"/>
      <c r="F141" s="365"/>
      <c r="G141" s="366"/>
      <c r="H141" s="367"/>
      <c r="I141" s="433"/>
      <c r="J141" s="421"/>
      <c r="K141" s="422"/>
      <c r="L141" s="422"/>
      <c r="M141" s="422"/>
      <c r="N141" s="423"/>
    </row>
    <row r="142" hidden="1" spans="2:14">
      <c r="B142" s="364"/>
      <c r="C142" s="365"/>
      <c r="D142" s="365"/>
      <c r="E142" s="365"/>
      <c r="F142" s="365"/>
      <c r="G142" s="366"/>
      <c r="H142" s="367"/>
      <c r="I142" s="433"/>
      <c r="J142" s="421"/>
      <c r="K142" s="422"/>
      <c r="L142" s="422"/>
      <c r="M142" s="422"/>
      <c r="N142" s="423"/>
    </row>
    <row r="143" hidden="1" spans="2:14">
      <c r="B143" s="364"/>
      <c r="C143" s="365"/>
      <c r="D143" s="365"/>
      <c r="E143" s="365"/>
      <c r="F143" s="365"/>
      <c r="G143" s="366"/>
      <c r="H143" s="367"/>
      <c r="I143" s="433"/>
      <c r="J143" s="421"/>
      <c r="K143" s="422"/>
      <c r="L143" s="422"/>
      <c r="M143" s="422"/>
      <c r="N143" s="423"/>
    </row>
    <row r="144" hidden="1" spans="2:14">
      <c r="B144" s="364"/>
      <c r="C144" s="365"/>
      <c r="D144" s="365"/>
      <c r="E144" s="365"/>
      <c r="F144" s="365"/>
      <c r="G144" s="366"/>
      <c r="H144" s="367"/>
      <c r="I144" s="433"/>
      <c r="J144" s="421"/>
      <c r="K144" s="422"/>
      <c r="L144" s="422"/>
      <c r="M144" s="422"/>
      <c r="N144" s="423"/>
    </row>
    <row r="145" hidden="1" spans="2:14">
      <c r="B145" s="364"/>
      <c r="C145" s="365"/>
      <c r="D145" s="365"/>
      <c r="E145" s="365"/>
      <c r="F145" s="365"/>
      <c r="G145" s="366"/>
      <c r="H145" s="367"/>
      <c r="I145" s="433"/>
      <c r="J145" s="421"/>
      <c r="K145" s="422"/>
      <c r="L145" s="422"/>
      <c r="M145" s="422"/>
      <c r="N145" s="423"/>
    </row>
    <row r="146" s="328" customFormat="1" spans="2:51">
      <c r="B146" s="494" t="s">
        <v>134</v>
      </c>
      <c r="C146" s="495"/>
      <c r="D146" s="495"/>
      <c r="E146" s="495"/>
      <c r="F146" s="495"/>
      <c r="G146" s="495"/>
      <c r="H146" s="493" t="s">
        <v>135</v>
      </c>
      <c r="I146" s="501" t="s">
        <v>136</v>
      </c>
      <c r="J146" s="487"/>
      <c r="K146" s="488">
        <f>K147+K165+K169+K187+K205+K226+K245+K249+K267+K285+K223</f>
        <v>10341854.88</v>
      </c>
      <c r="L146" s="488">
        <f t="shared" ref="L146:M146" si="41">L147+L165+L169+L187+L205+L226+L245+L249+L267+L285</f>
        <v>10086354.88</v>
      </c>
      <c r="M146" s="488">
        <f t="shared" si="41"/>
        <v>10184354.88</v>
      </c>
      <c r="N146" s="489"/>
      <c r="O146" s="329"/>
      <c r="P146" s="329"/>
      <c r="Q146" s="329"/>
      <c r="R146" s="327"/>
      <c r="S146" s="327"/>
      <c r="T146" s="327"/>
      <c r="U146" s="327"/>
      <c r="V146" s="327"/>
      <c r="W146" s="327"/>
      <c r="X146" s="327"/>
      <c r="Y146" s="327"/>
      <c r="Z146" s="327"/>
      <c r="AA146" s="327"/>
      <c r="AB146" s="327"/>
      <c r="AC146" s="327"/>
      <c r="AD146" s="327"/>
      <c r="AE146" s="327"/>
      <c r="AF146" s="327"/>
      <c r="AG146" s="327"/>
      <c r="AH146" s="327"/>
      <c r="AI146" s="327"/>
      <c r="AJ146" s="327"/>
      <c r="AK146" s="327"/>
      <c r="AL146" s="327"/>
      <c r="AM146" s="327"/>
      <c r="AN146" s="327"/>
      <c r="AO146" s="327"/>
      <c r="AP146" s="327"/>
      <c r="AQ146" s="327"/>
      <c r="AR146" s="327"/>
      <c r="AS146" s="327"/>
      <c r="AT146" s="327"/>
      <c r="AU146" s="327"/>
      <c r="AV146" s="327"/>
      <c r="AW146" s="327"/>
      <c r="AX146" s="327"/>
      <c r="AY146" s="327"/>
    </row>
    <row r="147" spans="2:14">
      <c r="B147" s="496" t="s">
        <v>197</v>
      </c>
      <c r="C147" s="497"/>
      <c r="D147" s="497"/>
      <c r="E147" s="497"/>
      <c r="F147" s="497"/>
      <c r="G147" s="497"/>
      <c r="H147" s="356"/>
      <c r="I147" s="429"/>
      <c r="J147" s="448" t="s">
        <v>138</v>
      </c>
      <c r="K147" s="502">
        <f>SUM(K148:K158)</f>
        <v>77744</v>
      </c>
      <c r="L147" s="502">
        <f t="shared" ref="L147" si="42">SUM(L148:L158)</f>
        <v>77744</v>
      </c>
      <c r="M147" s="502">
        <f t="shared" ref="M147" si="43">SUM(M148:M158)</f>
        <v>77744</v>
      </c>
      <c r="N147" s="423"/>
    </row>
    <row r="148" spans="2:14">
      <c r="B148" s="498"/>
      <c r="C148" s="499"/>
      <c r="D148" s="499"/>
      <c r="E148" s="499"/>
      <c r="F148" s="499"/>
      <c r="G148" s="500"/>
      <c r="H148" s="356"/>
      <c r="I148" s="429"/>
      <c r="J148" s="452" t="s">
        <v>180</v>
      </c>
      <c r="K148" s="422">
        <v>6744</v>
      </c>
      <c r="L148" s="422">
        <f>K148</f>
        <v>6744</v>
      </c>
      <c r="M148" s="422">
        <f>K148</f>
        <v>6744</v>
      </c>
      <c r="N148" s="423"/>
    </row>
    <row r="149" hidden="1" spans="2:14">
      <c r="B149" s="498"/>
      <c r="C149" s="499"/>
      <c r="D149" s="499"/>
      <c r="E149" s="499"/>
      <c r="F149" s="499"/>
      <c r="G149" s="500"/>
      <c r="H149" s="356"/>
      <c r="I149" s="429"/>
      <c r="J149" s="452" t="s">
        <v>196</v>
      </c>
      <c r="K149" s="422"/>
      <c r="L149" s="422"/>
      <c r="M149" s="422"/>
      <c r="N149" s="423"/>
    </row>
    <row r="150" spans="2:14">
      <c r="B150" s="498"/>
      <c r="C150" s="499"/>
      <c r="D150" s="499"/>
      <c r="E150" s="499"/>
      <c r="F150" s="499"/>
      <c r="G150" s="500"/>
      <c r="H150" s="356"/>
      <c r="I150" s="429"/>
      <c r="J150" s="446" t="s">
        <v>181</v>
      </c>
      <c r="K150" s="422">
        <v>71000</v>
      </c>
      <c r="L150" s="422">
        <f>K150</f>
        <v>71000</v>
      </c>
      <c r="M150" s="422">
        <f>K150</f>
        <v>71000</v>
      </c>
      <c r="N150" s="423"/>
    </row>
    <row r="151" hidden="1" spans="2:14">
      <c r="B151" s="498"/>
      <c r="C151" s="499"/>
      <c r="D151" s="499"/>
      <c r="E151" s="499"/>
      <c r="F151" s="499"/>
      <c r="G151" s="500"/>
      <c r="H151" s="356"/>
      <c r="I151" s="429"/>
      <c r="J151" s="452" t="s">
        <v>184</v>
      </c>
      <c r="K151" s="422"/>
      <c r="L151" s="422"/>
      <c r="M151" s="422"/>
      <c r="N151" s="423"/>
    </row>
    <row r="152" hidden="1" spans="2:14">
      <c r="B152" s="498"/>
      <c r="C152" s="499"/>
      <c r="D152" s="499"/>
      <c r="E152" s="499"/>
      <c r="F152" s="499"/>
      <c r="G152" s="500"/>
      <c r="H152" s="356"/>
      <c r="I152" s="429"/>
      <c r="J152" s="452" t="s">
        <v>188</v>
      </c>
      <c r="K152" s="422"/>
      <c r="L152" s="422"/>
      <c r="M152" s="422"/>
      <c r="N152" s="423"/>
    </row>
    <row r="153" hidden="1" spans="2:14">
      <c r="B153" s="498"/>
      <c r="C153" s="499"/>
      <c r="D153" s="499"/>
      <c r="E153" s="499"/>
      <c r="F153" s="499"/>
      <c r="G153" s="500"/>
      <c r="H153" s="356"/>
      <c r="I153" s="429"/>
      <c r="J153" s="452" t="s">
        <v>190</v>
      </c>
      <c r="K153" s="422"/>
      <c r="L153" s="422"/>
      <c r="M153" s="422"/>
      <c r="N153" s="423"/>
    </row>
    <row r="154" hidden="1" spans="2:14">
      <c r="B154" s="498"/>
      <c r="C154" s="499"/>
      <c r="D154" s="499"/>
      <c r="E154" s="499"/>
      <c r="F154" s="499"/>
      <c r="G154" s="500"/>
      <c r="H154" s="356"/>
      <c r="I154" s="429"/>
      <c r="J154" s="452" t="s">
        <v>198</v>
      </c>
      <c r="K154" s="422"/>
      <c r="L154" s="422"/>
      <c r="M154" s="422"/>
      <c r="N154" s="423"/>
    </row>
    <row r="155" hidden="1" spans="2:14">
      <c r="B155" s="498"/>
      <c r="C155" s="499"/>
      <c r="D155" s="499"/>
      <c r="E155" s="499"/>
      <c r="F155" s="499"/>
      <c r="G155" s="500"/>
      <c r="H155" s="356"/>
      <c r="I155" s="429"/>
      <c r="J155" s="452" t="s">
        <v>194</v>
      </c>
      <c r="K155" s="422"/>
      <c r="L155" s="422"/>
      <c r="M155" s="422"/>
      <c r="N155" s="423"/>
    </row>
    <row r="156" hidden="1" spans="2:14">
      <c r="B156" s="498"/>
      <c r="C156" s="499"/>
      <c r="D156" s="499"/>
      <c r="E156" s="499"/>
      <c r="F156" s="499"/>
      <c r="G156" s="500"/>
      <c r="H156" s="356"/>
      <c r="I156" s="429"/>
      <c r="J156" s="452" t="s">
        <v>199</v>
      </c>
      <c r="K156" s="422"/>
      <c r="L156" s="422"/>
      <c r="M156" s="422"/>
      <c r="N156" s="423"/>
    </row>
    <row r="157" hidden="1" spans="2:14">
      <c r="B157" s="498"/>
      <c r="C157" s="499"/>
      <c r="D157" s="499"/>
      <c r="E157" s="499"/>
      <c r="F157" s="499"/>
      <c r="G157" s="500"/>
      <c r="H157" s="356"/>
      <c r="I157" s="429"/>
      <c r="J157" s="452" t="s">
        <v>192</v>
      </c>
      <c r="K157" s="422"/>
      <c r="L157" s="422"/>
      <c r="M157" s="422"/>
      <c r="N157" s="423"/>
    </row>
    <row r="158" hidden="1" spans="2:14">
      <c r="B158" s="498"/>
      <c r="C158" s="499"/>
      <c r="D158" s="499"/>
      <c r="E158" s="499"/>
      <c r="F158" s="499"/>
      <c r="G158" s="500"/>
      <c r="H158" s="356"/>
      <c r="I158" s="429"/>
      <c r="J158" s="452" t="s">
        <v>193</v>
      </c>
      <c r="K158" s="449"/>
      <c r="L158" s="449"/>
      <c r="M158" s="449"/>
      <c r="N158" s="423"/>
    </row>
    <row r="159" hidden="1" spans="2:14">
      <c r="B159" s="498"/>
      <c r="C159" s="499"/>
      <c r="D159" s="499"/>
      <c r="E159" s="499"/>
      <c r="F159" s="499"/>
      <c r="G159" s="500"/>
      <c r="H159" s="356"/>
      <c r="I159" s="429"/>
      <c r="J159" s="452"/>
      <c r="K159" s="449"/>
      <c r="L159" s="449"/>
      <c r="M159" s="449"/>
      <c r="N159" s="423"/>
    </row>
    <row r="160" hidden="1" spans="2:14">
      <c r="B160" s="498"/>
      <c r="C160" s="499"/>
      <c r="D160" s="499"/>
      <c r="E160" s="499"/>
      <c r="F160" s="499"/>
      <c r="G160" s="500"/>
      <c r="H160" s="356"/>
      <c r="I160" s="429"/>
      <c r="J160" s="452"/>
      <c r="K160" s="449"/>
      <c r="L160" s="449"/>
      <c r="M160" s="449"/>
      <c r="N160" s="423"/>
    </row>
    <row r="161" hidden="1" spans="2:14">
      <c r="B161" s="498"/>
      <c r="C161" s="499"/>
      <c r="D161" s="499"/>
      <c r="E161" s="499"/>
      <c r="F161" s="499"/>
      <c r="G161" s="500"/>
      <c r="H161" s="356"/>
      <c r="I161" s="429"/>
      <c r="J161" s="452"/>
      <c r="K161" s="449"/>
      <c r="L161" s="449"/>
      <c r="M161" s="449"/>
      <c r="N161" s="423"/>
    </row>
    <row r="162" hidden="1" spans="2:14">
      <c r="B162" s="498"/>
      <c r="C162" s="499"/>
      <c r="D162" s="499"/>
      <c r="E162" s="499"/>
      <c r="F162" s="499"/>
      <c r="G162" s="500"/>
      <c r="H162" s="356"/>
      <c r="I162" s="429"/>
      <c r="J162" s="452"/>
      <c r="K162" s="449"/>
      <c r="L162" s="449"/>
      <c r="M162" s="449"/>
      <c r="N162" s="423"/>
    </row>
    <row r="163" hidden="1" spans="2:14">
      <c r="B163" s="498"/>
      <c r="C163" s="499"/>
      <c r="D163" s="499"/>
      <c r="E163" s="499"/>
      <c r="F163" s="499"/>
      <c r="G163" s="500"/>
      <c r="H163" s="356"/>
      <c r="I163" s="429"/>
      <c r="J163" s="452"/>
      <c r="K163" s="449"/>
      <c r="L163" s="449"/>
      <c r="M163" s="449"/>
      <c r="N163" s="423"/>
    </row>
    <row r="164" hidden="1" spans="2:14">
      <c r="B164" s="498"/>
      <c r="C164" s="499"/>
      <c r="D164" s="499"/>
      <c r="E164" s="499"/>
      <c r="F164" s="499"/>
      <c r="G164" s="500"/>
      <c r="H164" s="356"/>
      <c r="I164" s="429"/>
      <c r="J164" s="452"/>
      <c r="K164" s="449"/>
      <c r="L164" s="449"/>
      <c r="M164" s="449"/>
      <c r="N164" s="423"/>
    </row>
    <row r="165" hidden="1" spans="2:14">
      <c r="B165" s="498"/>
      <c r="C165" s="499"/>
      <c r="D165" s="499"/>
      <c r="E165" s="499"/>
      <c r="F165" s="499"/>
      <c r="G165" s="500"/>
      <c r="H165" s="356"/>
      <c r="I165" s="429"/>
      <c r="J165" s="448" t="s">
        <v>139</v>
      </c>
      <c r="K165" s="449">
        <f>K166</f>
        <v>0</v>
      </c>
      <c r="L165" s="449">
        <f t="shared" ref="L165:M165" si="44">L166</f>
        <v>0</v>
      </c>
      <c r="M165" s="449">
        <f t="shared" si="44"/>
        <v>0</v>
      </c>
      <c r="N165" s="423"/>
    </row>
    <row r="166" hidden="1" spans="2:14">
      <c r="B166" s="498"/>
      <c r="C166" s="499"/>
      <c r="D166" s="499"/>
      <c r="E166" s="499"/>
      <c r="F166" s="499"/>
      <c r="G166" s="500"/>
      <c r="H166" s="356"/>
      <c r="I166" s="429"/>
      <c r="J166" s="452" t="s">
        <v>199</v>
      </c>
      <c r="K166" s="449"/>
      <c r="L166" s="449"/>
      <c r="M166" s="449"/>
      <c r="N166" s="423"/>
    </row>
    <row r="167" hidden="1" spans="2:14">
      <c r="B167" s="498"/>
      <c r="C167" s="499"/>
      <c r="D167" s="499"/>
      <c r="E167" s="499"/>
      <c r="F167" s="499"/>
      <c r="G167" s="500"/>
      <c r="H167" s="356"/>
      <c r="I167" s="429"/>
      <c r="J167" s="452"/>
      <c r="K167" s="449"/>
      <c r="L167" s="449"/>
      <c r="M167" s="449"/>
      <c r="N167" s="423"/>
    </row>
    <row r="168" hidden="1" spans="2:14">
      <c r="B168" s="498"/>
      <c r="C168" s="499"/>
      <c r="D168" s="499"/>
      <c r="E168" s="499"/>
      <c r="F168" s="499"/>
      <c r="G168" s="500"/>
      <c r="H168" s="356"/>
      <c r="I168" s="429"/>
      <c r="J168" s="421"/>
      <c r="K168" s="422"/>
      <c r="L168" s="422"/>
      <c r="M168" s="422"/>
      <c r="N168" s="423"/>
    </row>
    <row r="169" spans="2:14">
      <c r="B169" s="498"/>
      <c r="C169" s="499"/>
      <c r="D169" s="499"/>
      <c r="E169" s="499"/>
      <c r="F169" s="499"/>
      <c r="G169" s="500"/>
      <c r="H169" s="356"/>
      <c r="I169" s="429"/>
      <c r="J169" s="448" t="s">
        <v>141</v>
      </c>
      <c r="K169" s="502">
        <f>SUM(K170:K180)</f>
        <v>3266571.41</v>
      </c>
      <c r="L169" s="502">
        <f t="shared" ref="L169" si="45">SUM(L170:L180)</f>
        <v>3361071.41</v>
      </c>
      <c r="M169" s="502">
        <f t="shared" ref="M169" si="46">SUM(M170:M180)</f>
        <v>3459071.41</v>
      </c>
      <c r="N169" s="423"/>
    </row>
    <row r="170" spans="2:14">
      <c r="B170" s="498"/>
      <c r="C170" s="499"/>
      <c r="D170" s="499"/>
      <c r="E170" s="499"/>
      <c r="F170" s="499"/>
      <c r="G170" s="500"/>
      <c r="H170" s="356"/>
      <c r="I170" s="429"/>
      <c r="J170" s="452" t="s">
        <v>180</v>
      </c>
      <c r="K170" s="432">
        <f>749228.41+6143</f>
        <v>755371.41</v>
      </c>
      <c r="L170" s="422">
        <f>K170</f>
        <v>755371.41</v>
      </c>
      <c r="M170" s="422">
        <f>L170</f>
        <v>755371.41</v>
      </c>
      <c r="N170" s="423"/>
    </row>
    <row r="171" hidden="1" spans="2:14">
      <c r="B171" s="498"/>
      <c r="C171" s="499"/>
      <c r="D171" s="499"/>
      <c r="E171" s="499"/>
      <c r="F171" s="499"/>
      <c r="G171" s="500"/>
      <c r="H171" s="356"/>
      <c r="I171" s="429"/>
      <c r="J171" s="452" t="s">
        <v>196</v>
      </c>
      <c r="K171" s="422"/>
      <c r="L171" s="422"/>
      <c r="M171" s="422"/>
      <c r="N171" s="423"/>
    </row>
    <row r="172" spans="2:14">
      <c r="B172" s="498"/>
      <c r="C172" s="499"/>
      <c r="D172" s="499"/>
      <c r="E172" s="499"/>
      <c r="F172" s="499"/>
      <c r="G172" s="500"/>
      <c r="H172" s="356"/>
      <c r="I172" s="429"/>
      <c r="J172" s="446" t="s">
        <v>181</v>
      </c>
      <c r="K172" s="422">
        <v>2511200</v>
      </c>
      <c r="L172" s="422">
        <v>2605700</v>
      </c>
      <c r="M172" s="422">
        <v>2703700</v>
      </c>
      <c r="N172" s="423"/>
    </row>
    <row r="173" hidden="1" spans="2:14">
      <c r="B173" s="498"/>
      <c r="C173" s="499"/>
      <c r="D173" s="499"/>
      <c r="E173" s="499"/>
      <c r="F173" s="499"/>
      <c r="G173" s="500"/>
      <c r="H173" s="356"/>
      <c r="I173" s="429"/>
      <c r="J173" s="452" t="s">
        <v>184</v>
      </c>
      <c r="K173" s="422"/>
      <c r="L173" s="422"/>
      <c r="M173" s="422"/>
      <c r="N173" s="423"/>
    </row>
    <row r="174" hidden="1" spans="2:14">
      <c r="B174" s="498"/>
      <c r="C174" s="499"/>
      <c r="D174" s="499"/>
      <c r="E174" s="499"/>
      <c r="F174" s="499"/>
      <c r="G174" s="500"/>
      <c r="H174" s="356"/>
      <c r="I174" s="429"/>
      <c r="J174" s="452" t="s">
        <v>188</v>
      </c>
      <c r="K174" s="422"/>
      <c r="L174" s="422"/>
      <c r="M174" s="422"/>
      <c r="N174" s="423"/>
    </row>
    <row r="175" hidden="1" spans="2:14">
      <c r="B175" s="498"/>
      <c r="C175" s="499"/>
      <c r="D175" s="499"/>
      <c r="E175" s="499"/>
      <c r="F175" s="499"/>
      <c r="G175" s="500"/>
      <c r="H175" s="356"/>
      <c r="I175" s="429"/>
      <c r="J175" s="452" t="s">
        <v>190</v>
      </c>
      <c r="K175" s="422"/>
      <c r="L175" s="422"/>
      <c r="M175" s="422"/>
      <c r="N175" s="423"/>
    </row>
    <row r="176" ht="18" hidden="1" customHeight="1" spans="2:14">
      <c r="B176" s="498"/>
      <c r="C176" s="499"/>
      <c r="D176" s="499"/>
      <c r="E176" s="499"/>
      <c r="F176" s="499"/>
      <c r="G176" s="500"/>
      <c r="H176" s="356"/>
      <c r="I176" s="429"/>
      <c r="J176" s="452" t="s">
        <v>198</v>
      </c>
      <c r="K176" s="422"/>
      <c r="L176" s="422"/>
      <c r="M176" s="422"/>
      <c r="N176" s="423"/>
    </row>
    <row r="177" ht="18" hidden="1" customHeight="1" spans="2:14">
      <c r="B177" s="498"/>
      <c r="C177" s="499"/>
      <c r="D177" s="499"/>
      <c r="E177" s="499"/>
      <c r="F177" s="499"/>
      <c r="G177" s="500"/>
      <c r="H177" s="356"/>
      <c r="I177" s="429"/>
      <c r="J177" s="452" t="s">
        <v>194</v>
      </c>
      <c r="K177" s="422"/>
      <c r="L177" s="422"/>
      <c r="M177" s="422"/>
      <c r="N177" s="423"/>
    </row>
    <row r="178" hidden="1" spans="2:14">
      <c r="B178" s="498"/>
      <c r="C178" s="499"/>
      <c r="D178" s="499"/>
      <c r="E178" s="499"/>
      <c r="F178" s="499"/>
      <c r="G178" s="500"/>
      <c r="H178" s="356"/>
      <c r="I178" s="429"/>
      <c r="J178" s="452" t="s">
        <v>199</v>
      </c>
      <c r="K178" s="422"/>
      <c r="L178" s="422"/>
      <c r="M178" s="422"/>
      <c r="N178" s="423"/>
    </row>
    <row r="179" hidden="1" spans="2:14">
      <c r="B179" s="498"/>
      <c r="C179" s="499"/>
      <c r="D179" s="499"/>
      <c r="E179" s="499"/>
      <c r="F179" s="499"/>
      <c r="G179" s="500"/>
      <c r="H179" s="356"/>
      <c r="I179" s="429"/>
      <c r="J179" s="452" t="s">
        <v>192</v>
      </c>
      <c r="K179" s="449"/>
      <c r="L179" s="449"/>
      <c r="M179" s="449"/>
      <c r="N179" s="423"/>
    </row>
    <row r="180" hidden="1" spans="2:14">
      <c r="B180" s="498"/>
      <c r="C180" s="499"/>
      <c r="D180" s="499"/>
      <c r="E180" s="499"/>
      <c r="F180" s="499"/>
      <c r="G180" s="500"/>
      <c r="H180" s="356"/>
      <c r="I180" s="429"/>
      <c r="J180" s="452" t="s">
        <v>193</v>
      </c>
      <c r="K180" s="422"/>
      <c r="L180" s="422"/>
      <c r="M180" s="422"/>
      <c r="N180" s="423"/>
    </row>
    <row r="181" hidden="1" spans="2:14">
      <c r="B181" s="498"/>
      <c r="C181" s="499"/>
      <c r="D181" s="499"/>
      <c r="E181" s="499"/>
      <c r="F181" s="499"/>
      <c r="G181" s="500"/>
      <c r="H181" s="356"/>
      <c r="I181" s="429"/>
      <c r="J181" s="452"/>
      <c r="K181" s="422"/>
      <c r="L181" s="422"/>
      <c r="M181" s="422"/>
      <c r="N181" s="423"/>
    </row>
    <row r="182" hidden="1" spans="2:14">
      <c r="B182" s="498"/>
      <c r="C182" s="499"/>
      <c r="D182" s="499"/>
      <c r="E182" s="499"/>
      <c r="F182" s="499"/>
      <c r="G182" s="500"/>
      <c r="H182" s="356"/>
      <c r="I182" s="429"/>
      <c r="J182" s="452"/>
      <c r="K182" s="422"/>
      <c r="L182" s="422"/>
      <c r="M182" s="422"/>
      <c r="N182" s="423"/>
    </row>
    <row r="183" hidden="1" spans="2:14">
      <c r="B183" s="498"/>
      <c r="C183" s="499"/>
      <c r="D183" s="499"/>
      <c r="E183" s="499"/>
      <c r="F183" s="499"/>
      <c r="G183" s="500"/>
      <c r="H183" s="356"/>
      <c r="I183" s="429"/>
      <c r="J183" s="452"/>
      <c r="K183" s="422"/>
      <c r="L183" s="422"/>
      <c r="M183" s="422"/>
      <c r="N183" s="423"/>
    </row>
    <row r="184" hidden="1" spans="2:14">
      <c r="B184" s="498"/>
      <c r="C184" s="499"/>
      <c r="D184" s="499"/>
      <c r="E184" s="499"/>
      <c r="F184" s="499"/>
      <c r="G184" s="500"/>
      <c r="H184" s="356"/>
      <c r="I184" s="429"/>
      <c r="J184" s="452"/>
      <c r="K184" s="422"/>
      <c r="L184" s="422"/>
      <c r="M184" s="422"/>
      <c r="N184" s="423"/>
    </row>
    <row r="185" hidden="1" spans="2:14">
      <c r="B185" s="498"/>
      <c r="C185" s="499"/>
      <c r="D185" s="499"/>
      <c r="E185" s="499"/>
      <c r="F185" s="499"/>
      <c r="G185" s="500"/>
      <c r="H185" s="356"/>
      <c r="I185" s="429"/>
      <c r="J185" s="452"/>
      <c r="K185" s="422"/>
      <c r="L185" s="422"/>
      <c r="M185" s="422"/>
      <c r="N185" s="423"/>
    </row>
    <row r="186" hidden="1" spans="2:14">
      <c r="B186" s="498"/>
      <c r="C186" s="499"/>
      <c r="D186" s="499"/>
      <c r="E186" s="499"/>
      <c r="F186" s="499"/>
      <c r="G186" s="500"/>
      <c r="H186" s="356"/>
      <c r="I186" s="429"/>
      <c r="J186" s="421"/>
      <c r="K186" s="422"/>
      <c r="L186" s="422"/>
      <c r="M186" s="422"/>
      <c r="N186" s="423"/>
    </row>
    <row r="187" spans="2:14">
      <c r="B187" s="498"/>
      <c r="C187" s="499"/>
      <c r="D187" s="499"/>
      <c r="E187" s="499"/>
      <c r="F187" s="499"/>
      <c r="G187" s="500"/>
      <c r="H187" s="356"/>
      <c r="I187" s="429"/>
      <c r="J187" s="448" t="s">
        <v>143</v>
      </c>
      <c r="K187" s="502">
        <f>SUM(K188:K198)</f>
        <v>1101736.91</v>
      </c>
      <c r="L187" s="502">
        <f t="shared" ref="L187" si="47">SUM(L188:L198)</f>
        <v>808858.47</v>
      </c>
      <c r="M187" s="502">
        <f t="shared" ref="M187" si="48">SUM(M188:M198)</f>
        <v>808858.47</v>
      </c>
      <c r="N187" s="423"/>
    </row>
    <row r="188" spans="2:14">
      <c r="B188" s="498"/>
      <c r="C188" s="499"/>
      <c r="D188" s="499"/>
      <c r="E188" s="499"/>
      <c r="F188" s="499"/>
      <c r="G188" s="500"/>
      <c r="H188" s="356"/>
      <c r="I188" s="429"/>
      <c r="J188" s="452" t="s">
        <v>180</v>
      </c>
      <c r="K188" s="422">
        <v>320880.91</v>
      </c>
      <c r="L188" s="422">
        <v>396001.47</v>
      </c>
      <c r="M188" s="422">
        <f>L188</f>
        <v>396001.47</v>
      </c>
      <c r="N188" s="423"/>
    </row>
    <row r="189" spans="2:14">
      <c r="B189" s="498"/>
      <c r="C189" s="499"/>
      <c r="D189" s="499"/>
      <c r="E189" s="499"/>
      <c r="F189" s="499"/>
      <c r="G189" s="500"/>
      <c r="H189" s="356"/>
      <c r="I189" s="429"/>
      <c r="J189" s="452" t="s">
        <v>187</v>
      </c>
      <c r="K189" s="422">
        <v>350000</v>
      </c>
      <c r="L189" s="422"/>
      <c r="M189" s="422"/>
      <c r="N189" s="423"/>
    </row>
    <row r="190" spans="2:14">
      <c r="B190" s="498"/>
      <c r="C190" s="499"/>
      <c r="D190" s="499"/>
      <c r="E190" s="499"/>
      <c r="F190" s="499"/>
      <c r="G190" s="500"/>
      <c r="H190" s="356"/>
      <c r="I190" s="429"/>
      <c r="J190" s="446" t="s">
        <v>181</v>
      </c>
      <c r="K190" s="422">
        <v>430856</v>
      </c>
      <c r="L190" s="422">
        <v>412857</v>
      </c>
      <c r="M190" s="422">
        <v>412857</v>
      </c>
      <c r="N190" s="423"/>
    </row>
    <row r="191" hidden="1" spans="2:14">
      <c r="B191" s="498"/>
      <c r="C191" s="499"/>
      <c r="D191" s="499"/>
      <c r="E191" s="499"/>
      <c r="F191" s="499"/>
      <c r="G191" s="500"/>
      <c r="H191" s="356"/>
      <c r="I191" s="429"/>
      <c r="J191" s="452" t="s">
        <v>184</v>
      </c>
      <c r="K191" s="422"/>
      <c r="L191" s="422"/>
      <c r="M191" s="422"/>
      <c r="N191" s="423"/>
    </row>
    <row r="192" hidden="1" spans="2:14">
      <c r="B192" s="498"/>
      <c r="C192" s="499"/>
      <c r="D192" s="499"/>
      <c r="E192" s="499"/>
      <c r="F192" s="499"/>
      <c r="G192" s="500"/>
      <c r="H192" s="356"/>
      <c r="I192" s="429"/>
      <c r="J192" s="452" t="s">
        <v>188</v>
      </c>
      <c r="K192" s="449"/>
      <c r="L192" s="449"/>
      <c r="M192" s="449"/>
      <c r="N192" s="423"/>
    </row>
    <row r="193" hidden="1" spans="2:14">
      <c r="B193" s="498"/>
      <c r="C193" s="499"/>
      <c r="D193" s="499"/>
      <c r="E193" s="499"/>
      <c r="F193" s="499"/>
      <c r="G193" s="500"/>
      <c r="H193" s="356"/>
      <c r="I193" s="429"/>
      <c r="J193" s="446" t="s">
        <v>200</v>
      </c>
      <c r="K193" s="422">
        <v>0</v>
      </c>
      <c r="L193" s="422">
        <v>0</v>
      </c>
      <c r="M193" s="422">
        <v>0</v>
      </c>
      <c r="N193" s="423"/>
    </row>
    <row r="194" hidden="1" spans="2:14">
      <c r="B194" s="498"/>
      <c r="C194" s="499"/>
      <c r="D194" s="499"/>
      <c r="E194" s="499"/>
      <c r="F194" s="499"/>
      <c r="G194" s="500"/>
      <c r="H194" s="356"/>
      <c r="I194" s="429"/>
      <c r="J194" s="452" t="s">
        <v>198</v>
      </c>
      <c r="K194" s="449"/>
      <c r="L194" s="449"/>
      <c r="M194" s="449"/>
      <c r="N194" s="423"/>
    </row>
    <row r="195" hidden="1" spans="2:14">
      <c r="B195" s="498"/>
      <c r="C195" s="499"/>
      <c r="D195" s="499"/>
      <c r="E195" s="499"/>
      <c r="F195" s="499"/>
      <c r="G195" s="500"/>
      <c r="H195" s="356"/>
      <c r="I195" s="429"/>
      <c r="J195" s="452" t="s">
        <v>194</v>
      </c>
      <c r="K195" s="422"/>
      <c r="L195" s="422"/>
      <c r="M195" s="422"/>
      <c r="N195" s="423"/>
    </row>
    <row r="196" hidden="1" spans="2:14">
      <c r="B196" s="498"/>
      <c r="C196" s="499"/>
      <c r="D196" s="499"/>
      <c r="E196" s="499"/>
      <c r="F196" s="499"/>
      <c r="G196" s="500"/>
      <c r="H196" s="356"/>
      <c r="I196" s="429"/>
      <c r="J196" s="452" t="s">
        <v>199</v>
      </c>
      <c r="K196" s="422"/>
      <c r="L196" s="422"/>
      <c r="M196" s="422"/>
      <c r="N196" s="423"/>
    </row>
    <row r="197" hidden="1" spans="2:14">
      <c r="B197" s="498"/>
      <c r="C197" s="499"/>
      <c r="D197" s="499"/>
      <c r="E197" s="499"/>
      <c r="F197" s="499"/>
      <c r="G197" s="500"/>
      <c r="H197" s="356"/>
      <c r="I197" s="429"/>
      <c r="J197" s="452" t="s">
        <v>192</v>
      </c>
      <c r="K197" s="449"/>
      <c r="L197" s="449"/>
      <c r="M197" s="449"/>
      <c r="N197" s="423"/>
    </row>
    <row r="198" hidden="1" spans="2:14">
      <c r="B198" s="498"/>
      <c r="C198" s="499"/>
      <c r="D198" s="499"/>
      <c r="E198" s="499"/>
      <c r="F198" s="499"/>
      <c r="G198" s="500"/>
      <c r="H198" s="356"/>
      <c r="I198" s="429"/>
      <c r="J198" s="452" t="s">
        <v>193</v>
      </c>
      <c r="K198" s="422"/>
      <c r="L198" s="422"/>
      <c r="M198" s="422"/>
      <c r="N198" s="423"/>
    </row>
    <row r="199" hidden="1" spans="2:14">
      <c r="B199" s="498"/>
      <c r="C199" s="499"/>
      <c r="D199" s="499"/>
      <c r="E199" s="499"/>
      <c r="F199" s="499"/>
      <c r="G199" s="500"/>
      <c r="H199" s="356"/>
      <c r="I199" s="429"/>
      <c r="J199" s="452"/>
      <c r="K199" s="422"/>
      <c r="L199" s="422"/>
      <c r="M199" s="422"/>
      <c r="N199" s="423"/>
    </row>
    <row r="200" hidden="1" spans="2:14">
      <c r="B200" s="498"/>
      <c r="C200" s="499"/>
      <c r="D200" s="499"/>
      <c r="E200" s="499"/>
      <c r="F200" s="499"/>
      <c r="G200" s="500"/>
      <c r="H200" s="356"/>
      <c r="I200" s="429"/>
      <c r="J200" s="452"/>
      <c r="K200" s="422"/>
      <c r="L200" s="422"/>
      <c r="M200" s="422"/>
      <c r="N200" s="423"/>
    </row>
    <row r="201" hidden="1" spans="2:14">
      <c r="B201" s="498"/>
      <c r="C201" s="499"/>
      <c r="D201" s="499"/>
      <c r="E201" s="499"/>
      <c r="F201" s="499"/>
      <c r="G201" s="500"/>
      <c r="H201" s="356"/>
      <c r="I201" s="429"/>
      <c r="J201" s="452"/>
      <c r="K201" s="422"/>
      <c r="L201" s="422"/>
      <c r="M201" s="422"/>
      <c r="N201" s="423"/>
    </row>
    <row r="202" hidden="1" spans="2:14">
      <c r="B202" s="498"/>
      <c r="C202" s="499"/>
      <c r="D202" s="499"/>
      <c r="E202" s="499"/>
      <c r="F202" s="499"/>
      <c r="G202" s="500"/>
      <c r="H202" s="356"/>
      <c r="I202" s="429"/>
      <c r="J202" s="452"/>
      <c r="K202" s="422"/>
      <c r="L202" s="422"/>
      <c r="M202" s="422"/>
      <c r="N202" s="423"/>
    </row>
    <row r="203" hidden="1" spans="2:14">
      <c r="B203" s="498"/>
      <c r="C203" s="499"/>
      <c r="D203" s="499"/>
      <c r="E203" s="499"/>
      <c r="F203" s="499"/>
      <c r="G203" s="500"/>
      <c r="H203" s="356"/>
      <c r="I203" s="429"/>
      <c r="J203" s="452"/>
      <c r="K203" s="422"/>
      <c r="L203" s="422"/>
      <c r="M203" s="422"/>
      <c r="N203" s="423"/>
    </row>
    <row r="204" hidden="1" spans="2:14">
      <c r="B204" s="498"/>
      <c r="C204" s="499"/>
      <c r="D204" s="499"/>
      <c r="E204" s="499"/>
      <c r="F204" s="499"/>
      <c r="G204" s="500"/>
      <c r="H204" s="356"/>
      <c r="I204" s="429"/>
      <c r="J204" s="448"/>
      <c r="K204" s="449"/>
      <c r="L204" s="449"/>
      <c r="M204" s="449"/>
      <c r="N204" s="423"/>
    </row>
    <row r="205" spans="2:14">
      <c r="B205" s="498"/>
      <c r="C205" s="499"/>
      <c r="D205" s="499"/>
      <c r="E205" s="499"/>
      <c r="F205" s="499"/>
      <c r="G205" s="500"/>
      <c r="H205" s="356"/>
      <c r="I205" s="429"/>
      <c r="J205" s="448" t="s">
        <v>133</v>
      </c>
      <c r="K205" s="502">
        <f>SUM(K206:K216)</f>
        <v>5134115.56</v>
      </c>
      <c r="L205" s="502">
        <f t="shared" ref="L205" si="49">SUM(L206:L216)</f>
        <v>5125594</v>
      </c>
      <c r="M205" s="502">
        <f t="shared" ref="M205" si="50">SUM(M206:M216)</f>
        <v>5125594</v>
      </c>
      <c r="N205" s="423"/>
    </row>
    <row r="206" spans="2:14">
      <c r="B206" s="498"/>
      <c r="C206" s="499"/>
      <c r="D206" s="499"/>
      <c r="E206" s="499"/>
      <c r="F206" s="499"/>
      <c r="G206" s="500"/>
      <c r="H206" s="356"/>
      <c r="I206" s="429"/>
      <c r="J206" s="452" t="s">
        <v>180</v>
      </c>
      <c r="K206" s="422">
        <f>195520.56+590400</f>
        <v>785920.56</v>
      </c>
      <c r="L206" s="422">
        <v>710800</v>
      </c>
      <c r="M206" s="422">
        <f>L206</f>
        <v>710800</v>
      </c>
      <c r="N206" s="423"/>
    </row>
    <row r="207" hidden="1" spans="2:14">
      <c r="B207" s="498"/>
      <c r="C207" s="499"/>
      <c r="D207" s="499"/>
      <c r="E207" s="499"/>
      <c r="F207" s="499"/>
      <c r="G207" s="500"/>
      <c r="H207" s="356"/>
      <c r="I207" s="429"/>
      <c r="J207" s="452" t="s">
        <v>196</v>
      </c>
      <c r="K207" s="422"/>
      <c r="L207" s="422"/>
      <c r="M207" s="422"/>
      <c r="N207" s="423"/>
    </row>
    <row r="208" spans="2:14">
      <c r="B208" s="498"/>
      <c r="C208" s="499"/>
      <c r="D208" s="499"/>
      <c r="E208" s="499"/>
      <c r="F208" s="499"/>
      <c r="G208" s="500"/>
      <c r="H208" s="356"/>
      <c r="I208" s="429"/>
      <c r="J208" s="446" t="s">
        <v>181</v>
      </c>
      <c r="K208" s="422">
        <f>2437644-48600</f>
        <v>2389044</v>
      </c>
      <c r="L208" s="422">
        <v>2455643</v>
      </c>
      <c r="M208" s="422">
        <f t="shared" ref="M208" si="51">L208</f>
        <v>2455643</v>
      </c>
      <c r="N208" s="423"/>
    </row>
    <row r="209" spans="2:14">
      <c r="B209" s="498"/>
      <c r="C209" s="499"/>
      <c r="D209" s="499"/>
      <c r="E209" s="499"/>
      <c r="F209" s="499"/>
      <c r="G209" s="500"/>
      <c r="H209" s="356"/>
      <c r="I209" s="429"/>
      <c r="J209" s="452" t="s">
        <v>184</v>
      </c>
      <c r="K209" s="422">
        <v>41151</v>
      </c>
      <c r="L209" s="422">
        <f t="shared" ref="L209:M209" si="52">K209</f>
        <v>41151</v>
      </c>
      <c r="M209" s="422">
        <f t="shared" si="52"/>
        <v>41151</v>
      </c>
      <c r="N209" s="423"/>
    </row>
    <row r="210" hidden="1" spans="2:14">
      <c r="B210" s="498"/>
      <c r="C210" s="499"/>
      <c r="D210" s="499"/>
      <c r="E210" s="499"/>
      <c r="F210" s="499"/>
      <c r="G210" s="500"/>
      <c r="H210" s="356"/>
      <c r="I210" s="429"/>
      <c r="J210" s="452" t="s">
        <v>188</v>
      </c>
      <c r="K210" s="422">
        <v>0</v>
      </c>
      <c r="L210" s="422">
        <f>K210</f>
        <v>0</v>
      </c>
      <c r="M210" s="422">
        <f>L210</f>
        <v>0</v>
      </c>
      <c r="N210" s="423"/>
    </row>
    <row r="211" hidden="1" spans="2:14">
      <c r="B211" s="498"/>
      <c r="C211" s="499"/>
      <c r="D211" s="499"/>
      <c r="E211" s="499"/>
      <c r="F211" s="499"/>
      <c r="G211" s="500"/>
      <c r="H211" s="356"/>
      <c r="I211" s="429"/>
      <c r="J211" s="452" t="s">
        <v>200</v>
      </c>
      <c r="K211" s="422"/>
      <c r="L211" s="422"/>
      <c r="M211" s="422"/>
      <c r="N211" s="423"/>
    </row>
    <row r="212" spans="2:14">
      <c r="B212" s="498"/>
      <c r="C212" s="499"/>
      <c r="D212" s="499"/>
      <c r="E212" s="499"/>
      <c r="F212" s="499"/>
      <c r="G212" s="500"/>
      <c r="H212" s="356"/>
      <c r="I212" s="429"/>
      <c r="J212" s="452" t="s">
        <v>185</v>
      </c>
      <c r="K212" s="422">
        <v>1918000</v>
      </c>
      <c r="L212" s="422">
        <f t="shared" ref="L212" si="53">K212</f>
        <v>1918000</v>
      </c>
      <c r="M212" s="422">
        <f t="shared" ref="M212" si="54">L212</f>
        <v>1918000</v>
      </c>
      <c r="N212" s="423"/>
    </row>
    <row r="213" hidden="1" spans="2:14">
      <c r="B213" s="498"/>
      <c r="C213" s="499"/>
      <c r="D213" s="499"/>
      <c r="E213" s="499"/>
      <c r="F213" s="499"/>
      <c r="G213" s="500"/>
      <c r="H213" s="356"/>
      <c r="I213" s="429"/>
      <c r="J213" s="452" t="s">
        <v>194</v>
      </c>
      <c r="K213" s="422">
        <v>0</v>
      </c>
      <c r="L213" s="422">
        <v>0</v>
      </c>
      <c r="M213" s="422">
        <v>0</v>
      </c>
      <c r="N213" s="423"/>
    </row>
    <row r="214" hidden="1" spans="2:14">
      <c r="B214" s="498"/>
      <c r="C214" s="499"/>
      <c r="D214" s="499"/>
      <c r="E214" s="499"/>
      <c r="F214" s="499"/>
      <c r="G214" s="500"/>
      <c r="H214" s="356"/>
      <c r="I214" s="429"/>
      <c r="J214" s="452" t="s">
        <v>199</v>
      </c>
      <c r="K214" s="422"/>
      <c r="L214" s="422"/>
      <c r="M214" s="422"/>
      <c r="N214" s="423"/>
    </row>
    <row r="215" hidden="1" spans="2:14">
      <c r="B215" s="498"/>
      <c r="C215" s="499"/>
      <c r="D215" s="499"/>
      <c r="E215" s="499"/>
      <c r="F215" s="499"/>
      <c r="G215" s="500"/>
      <c r="H215" s="356"/>
      <c r="I215" s="429"/>
      <c r="J215" s="452" t="s">
        <v>192</v>
      </c>
      <c r="K215" s="422"/>
      <c r="L215" s="422"/>
      <c r="M215" s="422"/>
      <c r="N215" s="423"/>
    </row>
    <row r="216" hidden="1" spans="2:14">
      <c r="B216" s="498"/>
      <c r="C216" s="499"/>
      <c r="D216" s="499"/>
      <c r="E216" s="499"/>
      <c r="F216" s="499"/>
      <c r="G216" s="500"/>
      <c r="H216" s="356"/>
      <c r="I216" s="429"/>
      <c r="J216" s="452" t="s">
        <v>193</v>
      </c>
      <c r="K216" s="422"/>
      <c r="L216" s="422"/>
      <c r="M216" s="422"/>
      <c r="N216" s="423"/>
    </row>
    <row r="217" hidden="1" spans="2:14">
      <c r="B217" s="498"/>
      <c r="C217" s="499"/>
      <c r="D217" s="499"/>
      <c r="E217" s="499"/>
      <c r="F217" s="499"/>
      <c r="G217" s="500"/>
      <c r="H217" s="356"/>
      <c r="I217" s="429"/>
      <c r="J217" s="452"/>
      <c r="K217" s="422"/>
      <c r="L217" s="422"/>
      <c r="M217" s="422"/>
      <c r="N217" s="423"/>
    </row>
    <row r="218" hidden="1" spans="2:14">
      <c r="B218" s="498"/>
      <c r="C218" s="499"/>
      <c r="D218" s="499"/>
      <c r="E218" s="499"/>
      <c r="F218" s="499"/>
      <c r="G218" s="500"/>
      <c r="H218" s="356"/>
      <c r="I218" s="429"/>
      <c r="J218" s="452"/>
      <c r="K218" s="422"/>
      <c r="L218" s="422"/>
      <c r="M218" s="422"/>
      <c r="N218" s="423"/>
    </row>
    <row r="219" hidden="1" spans="2:14">
      <c r="B219" s="498"/>
      <c r="C219" s="499"/>
      <c r="D219" s="499"/>
      <c r="E219" s="499"/>
      <c r="F219" s="499"/>
      <c r="G219" s="500"/>
      <c r="H219" s="356"/>
      <c r="I219" s="429"/>
      <c r="J219" s="452"/>
      <c r="K219" s="422"/>
      <c r="L219" s="422"/>
      <c r="M219" s="422"/>
      <c r="N219" s="423"/>
    </row>
    <row r="220" hidden="1" spans="2:14">
      <c r="B220" s="498"/>
      <c r="C220" s="499"/>
      <c r="D220" s="499"/>
      <c r="E220" s="499"/>
      <c r="F220" s="499"/>
      <c r="G220" s="500"/>
      <c r="H220" s="356"/>
      <c r="I220" s="429"/>
      <c r="J220" s="452"/>
      <c r="K220" s="422"/>
      <c r="L220" s="422"/>
      <c r="M220" s="422"/>
      <c r="N220" s="423"/>
    </row>
    <row r="221" hidden="1" spans="2:14">
      <c r="B221" s="498"/>
      <c r="C221" s="499"/>
      <c r="D221" s="499"/>
      <c r="E221" s="499"/>
      <c r="F221" s="499"/>
      <c r="G221" s="500"/>
      <c r="H221" s="356"/>
      <c r="I221" s="429"/>
      <c r="J221" s="452"/>
      <c r="K221" s="422"/>
      <c r="L221" s="422"/>
      <c r="M221" s="422"/>
      <c r="N221" s="423"/>
    </row>
    <row r="222" hidden="1" spans="2:14">
      <c r="B222" s="498"/>
      <c r="C222" s="499"/>
      <c r="D222" s="499"/>
      <c r="E222" s="499"/>
      <c r="F222" s="499"/>
      <c r="G222" s="500"/>
      <c r="H222" s="356"/>
      <c r="I222" s="429"/>
      <c r="J222" s="452"/>
      <c r="K222" s="422"/>
      <c r="L222" s="422"/>
      <c r="M222" s="422"/>
      <c r="N222" s="423"/>
    </row>
    <row r="223" hidden="1" spans="2:14">
      <c r="B223" s="498"/>
      <c r="C223" s="499"/>
      <c r="D223" s="499"/>
      <c r="E223" s="499"/>
      <c r="F223" s="499"/>
      <c r="G223" s="500"/>
      <c r="H223" s="356"/>
      <c r="I223" s="429"/>
      <c r="J223" s="448" t="s">
        <v>201</v>
      </c>
      <c r="K223" s="502">
        <f>K224</f>
        <v>0</v>
      </c>
      <c r="L223" s="502">
        <f t="shared" ref="L223:M223" si="55">L224</f>
        <v>0</v>
      </c>
      <c r="M223" s="502">
        <f t="shared" si="55"/>
        <v>0</v>
      </c>
      <c r="N223" s="423"/>
    </row>
    <row r="224" hidden="1" spans="2:14">
      <c r="B224" s="498"/>
      <c r="C224" s="499"/>
      <c r="D224" s="499"/>
      <c r="E224" s="499"/>
      <c r="F224" s="499"/>
      <c r="G224" s="500"/>
      <c r="H224" s="356"/>
      <c r="I224" s="429"/>
      <c r="J224" s="452" t="s">
        <v>198</v>
      </c>
      <c r="K224" s="422"/>
      <c r="L224" s="422"/>
      <c r="M224" s="422"/>
      <c r="N224" s="423"/>
    </row>
    <row r="225" hidden="1" spans="2:14">
      <c r="B225" s="498"/>
      <c r="C225" s="499"/>
      <c r="D225" s="499"/>
      <c r="E225" s="499"/>
      <c r="F225" s="499"/>
      <c r="G225" s="500"/>
      <c r="H225" s="356"/>
      <c r="I225" s="429"/>
      <c r="J225" s="452"/>
      <c r="K225" s="422"/>
      <c r="L225" s="422"/>
      <c r="M225" s="422"/>
      <c r="N225" s="423"/>
    </row>
    <row r="226" spans="2:14">
      <c r="B226" s="498"/>
      <c r="C226" s="499"/>
      <c r="D226" s="499"/>
      <c r="E226" s="499"/>
      <c r="F226" s="499"/>
      <c r="G226" s="500"/>
      <c r="H226" s="356"/>
      <c r="I226" s="429"/>
      <c r="J226" s="448" t="s">
        <v>147</v>
      </c>
      <c r="K226" s="502">
        <f>SUM(K227:K237)</f>
        <v>100000</v>
      </c>
      <c r="L226" s="502">
        <f t="shared" ref="L226" si="56">SUM(L227:L237)</f>
        <v>100000</v>
      </c>
      <c r="M226" s="502">
        <f t="shared" ref="M226" si="57">SUM(M227:M237)</f>
        <v>100000</v>
      </c>
      <c r="N226" s="423"/>
    </row>
    <row r="227" spans="2:14">
      <c r="B227" s="498"/>
      <c r="C227" s="499"/>
      <c r="D227" s="499"/>
      <c r="E227" s="499"/>
      <c r="F227" s="499"/>
      <c r="G227" s="500"/>
      <c r="H227" s="356"/>
      <c r="I227" s="429"/>
      <c r="J227" s="452" t="s">
        <v>180</v>
      </c>
      <c r="K227" s="422">
        <v>100000</v>
      </c>
      <c r="L227" s="422">
        <f>K227</f>
        <v>100000</v>
      </c>
      <c r="M227" s="422">
        <f>K227</f>
        <v>100000</v>
      </c>
      <c r="N227" s="423"/>
    </row>
    <row r="228" hidden="1" spans="2:14">
      <c r="B228" s="498"/>
      <c r="C228" s="499"/>
      <c r="D228" s="499"/>
      <c r="E228" s="499"/>
      <c r="F228" s="499"/>
      <c r="G228" s="500"/>
      <c r="H228" s="356"/>
      <c r="I228" s="429"/>
      <c r="J228" s="452" t="s">
        <v>196</v>
      </c>
      <c r="K228" s="422"/>
      <c r="L228" s="422"/>
      <c r="M228" s="422"/>
      <c r="N228" s="423"/>
    </row>
    <row r="229" hidden="1" spans="2:14">
      <c r="B229" s="498"/>
      <c r="C229" s="499"/>
      <c r="D229" s="499"/>
      <c r="E229" s="499"/>
      <c r="F229" s="499"/>
      <c r="G229" s="500"/>
      <c r="H229" s="356"/>
      <c r="I229" s="429"/>
      <c r="J229" s="452" t="s">
        <v>202</v>
      </c>
      <c r="K229" s="422"/>
      <c r="L229" s="422"/>
      <c r="M229" s="422"/>
      <c r="N229" s="423"/>
    </row>
    <row r="230" hidden="1" spans="2:14">
      <c r="B230" s="498"/>
      <c r="C230" s="499"/>
      <c r="D230" s="499"/>
      <c r="E230" s="499"/>
      <c r="F230" s="499"/>
      <c r="G230" s="500"/>
      <c r="H230" s="356"/>
      <c r="I230" s="429"/>
      <c r="J230" s="452" t="s">
        <v>184</v>
      </c>
      <c r="K230" s="422"/>
      <c r="L230" s="422"/>
      <c r="M230" s="422"/>
      <c r="N230" s="423"/>
    </row>
    <row r="231" hidden="1" spans="2:14">
      <c r="B231" s="498"/>
      <c r="C231" s="499"/>
      <c r="D231" s="499"/>
      <c r="E231" s="499"/>
      <c r="F231" s="499"/>
      <c r="G231" s="500"/>
      <c r="H231" s="356"/>
      <c r="I231" s="429"/>
      <c r="J231" s="452" t="s">
        <v>188</v>
      </c>
      <c r="K231" s="422"/>
      <c r="L231" s="422"/>
      <c r="M231" s="422"/>
      <c r="N231" s="423"/>
    </row>
    <row r="232" hidden="1" spans="2:14">
      <c r="B232" s="498"/>
      <c r="C232" s="499"/>
      <c r="D232" s="499"/>
      <c r="E232" s="499"/>
      <c r="F232" s="499"/>
      <c r="G232" s="500"/>
      <c r="H232" s="356"/>
      <c r="I232" s="429"/>
      <c r="J232" s="452" t="s">
        <v>200</v>
      </c>
      <c r="K232" s="422"/>
      <c r="L232" s="422"/>
      <c r="M232" s="422"/>
      <c r="N232" s="423"/>
    </row>
    <row r="233" hidden="1" spans="2:14">
      <c r="B233" s="498"/>
      <c r="C233" s="499"/>
      <c r="D233" s="499"/>
      <c r="E233" s="499"/>
      <c r="F233" s="499"/>
      <c r="G233" s="500"/>
      <c r="H233" s="356"/>
      <c r="I233" s="429"/>
      <c r="J233" s="452" t="s">
        <v>198</v>
      </c>
      <c r="K233" s="422"/>
      <c r="L233" s="422"/>
      <c r="M233" s="422"/>
      <c r="N233" s="423"/>
    </row>
    <row r="234" hidden="1" spans="2:14">
      <c r="B234" s="498"/>
      <c r="C234" s="499"/>
      <c r="D234" s="499"/>
      <c r="E234" s="499"/>
      <c r="F234" s="499"/>
      <c r="G234" s="500"/>
      <c r="H234" s="356"/>
      <c r="I234" s="429"/>
      <c r="J234" s="452" t="s">
        <v>194</v>
      </c>
      <c r="K234" s="422"/>
      <c r="L234" s="422"/>
      <c r="M234" s="422"/>
      <c r="N234" s="423"/>
    </row>
    <row r="235" hidden="1" spans="2:14">
      <c r="B235" s="498"/>
      <c r="C235" s="499"/>
      <c r="D235" s="499"/>
      <c r="E235" s="499"/>
      <c r="F235" s="499"/>
      <c r="G235" s="500"/>
      <c r="H235" s="356"/>
      <c r="I235" s="429"/>
      <c r="J235" s="452" t="s">
        <v>199</v>
      </c>
      <c r="K235" s="422"/>
      <c r="L235" s="422"/>
      <c r="M235" s="422"/>
      <c r="N235" s="423"/>
    </row>
    <row r="236" hidden="1" spans="2:14">
      <c r="B236" s="498"/>
      <c r="C236" s="499"/>
      <c r="D236" s="499"/>
      <c r="E236" s="499"/>
      <c r="F236" s="499"/>
      <c r="G236" s="500"/>
      <c r="H236" s="356"/>
      <c r="I236" s="429"/>
      <c r="J236" s="452" t="s">
        <v>192</v>
      </c>
      <c r="K236" s="422"/>
      <c r="L236" s="422"/>
      <c r="M236" s="422"/>
      <c r="N236" s="423"/>
    </row>
    <row r="237" hidden="1" spans="2:14">
      <c r="B237" s="498"/>
      <c r="C237" s="499"/>
      <c r="D237" s="499"/>
      <c r="E237" s="499"/>
      <c r="F237" s="499"/>
      <c r="G237" s="500"/>
      <c r="H237" s="356"/>
      <c r="I237" s="429"/>
      <c r="J237" s="452" t="s">
        <v>193</v>
      </c>
      <c r="K237" s="422"/>
      <c r="L237" s="422"/>
      <c r="M237" s="422"/>
      <c r="N237" s="423"/>
    </row>
    <row r="238" hidden="1" spans="2:14">
      <c r="B238" s="498"/>
      <c r="C238" s="499"/>
      <c r="D238" s="499"/>
      <c r="E238" s="499"/>
      <c r="F238" s="499"/>
      <c r="G238" s="500"/>
      <c r="H238" s="356"/>
      <c r="I238" s="429"/>
      <c r="J238" s="452"/>
      <c r="K238" s="422"/>
      <c r="L238" s="422"/>
      <c r="M238" s="422"/>
      <c r="N238" s="423"/>
    </row>
    <row r="239" hidden="1" spans="2:14">
      <c r="B239" s="498"/>
      <c r="C239" s="499"/>
      <c r="D239" s="499"/>
      <c r="E239" s="499"/>
      <c r="F239" s="499"/>
      <c r="G239" s="500"/>
      <c r="H239" s="356"/>
      <c r="I239" s="429"/>
      <c r="J239" s="452"/>
      <c r="K239" s="422"/>
      <c r="L239" s="422"/>
      <c r="M239" s="422"/>
      <c r="N239" s="423"/>
    </row>
    <row r="240" hidden="1" spans="2:14">
      <c r="B240" s="498"/>
      <c r="C240" s="499"/>
      <c r="D240" s="499"/>
      <c r="E240" s="499"/>
      <c r="F240" s="499"/>
      <c r="G240" s="500"/>
      <c r="H240" s="356"/>
      <c r="I240" s="429"/>
      <c r="J240" s="452"/>
      <c r="K240" s="422"/>
      <c r="L240" s="422"/>
      <c r="M240" s="422"/>
      <c r="N240" s="423"/>
    </row>
    <row r="241" hidden="1" spans="2:14">
      <c r="B241" s="498"/>
      <c r="C241" s="499"/>
      <c r="D241" s="499"/>
      <c r="E241" s="499"/>
      <c r="F241" s="499"/>
      <c r="G241" s="500"/>
      <c r="H241" s="356"/>
      <c r="I241" s="429"/>
      <c r="J241" s="452"/>
      <c r="K241" s="422"/>
      <c r="L241" s="422"/>
      <c r="M241" s="422"/>
      <c r="N241" s="423"/>
    </row>
    <row r="242" hidden="1" spans="2:14">
      <c r="B242" s="498"/>
      <c r="C242" s="499"/>
      <c r="D242" s="499"/>
      <c r="E242" s="499"/>
      <c r="F242" s="499"/>
      <c r="G242" s="500"/>
      <c r="H242" s="356"/>
      <c r="I242" s="429"/>
      <c r="J242" s="452"/>
      <c r="K242" s="422"/>
      <c r="L242" s="422"/>
      <c r="M242" s="422"/>
      <c r="N242" s="423"/>
    </row>
    <row r="243" hidden="1" spans="2:14">
      <c r="B243" s="498"/>
      <c r="C243" s="499"/>
      <c r="D243" s="499"/>
      <c r="E243" s="499"/>
      <c r="F243" s="499"/>
      <c r="G243" s="500"/>
      <c r="H243" s="356"/>
      <c r="I243" s="429"/>
      <c r="J243" s="452"/>
      <c r="K243" s="422"/>
      <c r="L243" s="422"/>
      <c r="M243" s="422"/>
      <c r="N243" s="423"/>
    </row>
    <row r="244" hidden="1" spans="2:14">
      <c r="B244" s="498"/>
      <c r="C244" s="499"/>
      <c r="D244" s="499"/>
      <c r="E244" s="499"/>
      <c r="F244" s="499"/>
      <c r="G244" s="500"/>
      <c r="H244" s="356"/>
      <c r="I244" s="429"/>
      <c r="J244" s="452"/>
      <c r="K244" s="422"/>
      <c r="L244" s="422"/>
      <c r="M244" s="422"/>
      <c r="N244" s="423"/>
    </row>
    <row r="245" spans="2:14">
      <c r="B245" s="498"/>
      <c r="C245" s="499"/>
      <c r="D245" s="499"/>
      <c r="E245" s="499"/>
      <c r="F245" s="499"/>
      <c r="G245" s="500"/>
      <c r="H245" s="356"/>
      <c r="I245" s="429"/>
      <c r="J245" s="448" t="s">
        <v>203</v>
      </c>
      <c r="K245" s="502">
        <f>K246+K247</f>
        <v>15000</v>
      </c>
      <c r="L245" s="502">
        <f t="shared" ref="L245:M245" si="58">L246+L247</f>
        <v>15000</v>
      </c>
      <c r="M245" s="502">
        <f t="shared" si="58"/>
        <v>15000</v>
      </c>
      <c r="N245" s="423"/>
    </row>
    <row r="246" spans="2:14">
      <c r="B246" s="498"/>
      <c r="C246" s="499"/>
      <c r="D246" s="499"/>
      <c r="E246" s="499"/>
      <c r="F246" s="499"/>
      <c r="G246" s="500"/>
      <c r="H246" s="356"/>
      <c r="I246" s="429"/>
      <c r="J246" s="451" t="s">
        <v>180</v>
      </c>
      <c r="K246" s="422">
        <v>15000</v>
      </c>
      <c r="L246" s="422">
        <f>K246</f>
        <v>15000</v>
      </c>
      <c r="M246" s="422">
        <f>K246</f>
        <v>15000</v>
      </c>
      <c r="N246" s="423"/>
    </row>
    <row r="247" hidden="1" spans="2:14">
      <c r="B247" s="498"/>
      <c r="C247" s="499"/>
      <c r="D247" s="499"/>
      <c r="E247" s="499"/>
      <c r="F247" s="499"/>
      <c r="G247" s="500"/>
      <c r="H247" s="356"/>
      <c r="I247" s="429"/>
      <c r="J247" s="446" t="s">
        <v>198</v>
      </c>
      <c r="K247" s="422"/>
      <c r="L247" s="422"/>
      <c r="M247" s="422"/>
      <c r="N247" s="423"/>
    </row>
    <row r="248" spans="2:14">
      <c r="B248" s="498"/>
      <c r="C248" s="499"/>
      <c r="D248" s="499"/>
      <c r="E248" s="499"/>
      <c r="F248" s="499"/>
      <c r="G248" s="500"/>
      <c r="H248" s="356"/>
      <c r="I248" s="429"/>
      <c r="J248" s="452"/>
      <c r="K248" s="422"/>
      <c r="L248" s="422"/>
      <c r="M248" s="422"/>
      <c r="N248" s="423"/>
    </row>
    <row r="249" spans="2:14">
      <c r="B249" s="498"/>
      <c r="C249" s="499"/>
      <c r="D249" s="499"/>
      <c r="E249" s="499"/>
      <c r="F249" s="499"/>
      <c r="G249" s="500"/>
      <c r="H249" s="356"/>
      <c r="I249" s="429"/>
      <c r="J249" s="503" t="s">
        <v>150</v>
      </c>
      <c r="K249" s="502">
        <f>SUM(K250:K260)</f>
        <v>130000</v>
      </c>
      <c r="L249" s="502">
        <f t="shared" ref="L249:M249" si="59">SUM(L250:L260)</f>
        <v>130000</v>
      </c>
      <c r="M249" s="502">
        <f t="shared" si="59"/>
        <v>130000</v>
      </c>
      <c r="N249" s="423"/>
    </row>
    <row r="250" spans="2:14">
      <c r="B250" s="498"/>
      <c r="C250" s="499"/>
      <c r="D250" s="499"/>
      <c r="E250" s="499"/>
      <c r="F250" s="499"/>
      <c r="G250" s="500"/>
      <c r="H250" s="356"/>
      <c r="I250" s="429"/>
      <c r="J250" s="452" t="s">
        <v>180</v>
      </c>
      <c r="K250" s="422">
        <v>100000</v>
      </c>
      <c r="L250" s="422">
        <f>K250</f>
        <v>100000</v>
      </c>
      <c r="M250" s="422">
        <f>K250</f>
        <v>100000</v>
      </c>
      <c r="N250" s="423"/>
    </row>
    <row r="251" hidden="1" customHeight="1" spans="2:14">
      <c r="B251" s="498"/>
      <c r="C251" s="499"/>
      <c r="D251" s="499"/>
      <c r="E251" s="499"/>
      <c r="F251" s="499"/>
      <c r="G251" s="500"/>
      <c r="H251" s="356"/>
      <c r="I251" s="429"/>
      <c r="J251" s="452" t="s">
        <v>196</v>
      </c>
      <c r="K251" s="422"/>
      <c r="L251" s="422"/>
      <c r="M251" s="422"/>
      <c r="N251" s="423"/>
    </row>
    <row r="252" spans="2:14">
      <c r="B252" s="498"/>
      <c r="C252" s="499"/>
      <c r="D252" s="499"/>
      <c r="E252" s="499"/>
      <c r="F252" s="499"/>
      <c r="G252" s="500"/>
      <c r="H252" s="356"/>
      <c r="I252" s="429"/>
      <c r="J252" s="446" t="s">
        <v>181</v>
      </c>
      <c r="K252" s="422">
        <v>30000</v>
      </c>
      <c r="L252" s="422">
        <f>K252</f>
        <v>30000</v>
      </c>
      <c r="M252" s="422">
        <f>K252</f>
        <v>30000</v>
      </c>
      <c r="N252" s="423"/>
    </row>
    <row r="253" hidden="1" spans="2:14">
      <c r="B253" s="498"/>
      <c r="C253" s="499"/>
      <c r="D253" s="499"/>
      <c r="E253" s="499"/>
      <c r="F253" s="499"/>
      <c r="G253" s="500"/>
      <c r="H253" s="356"/>
      <c r="I253" s="429"/>
      <c r="J253" s="452" t="s">
        <v>184</v>
      </c>
      <c r="K253" s="422"/>
      <c r="L253" s="422"/>
      <c r="M253" s="422"/>
      <c r="N253" s="423"/>
    </row>
    <row r="254" hidden="1" spans="2:14">
      <c r="B254" s="498"/>
      <c r="C254" s="499"/>
      <c r="D254" s="499"/>
      <c r="E254" s="499"/>
      <c r="F254" s="499"/>
      <c r="G254" s="500"/>
      <c r="H254" s="356"/>
      <c r="I254" s="429"/>
      <c r="J254" s="452" t="s">
        <v>188</v>
      </c>
      <c r="K254" s="422"/>
      <c r="L254" s="422"/>
      <c r="M254" s="422"/>
      <c r="N254" s="423"/>
    </row>
    <row r="255" hidden="1" spans="2:14">
      <c r="B255" s="498"/>
      <c r="C255" s="499"/>
      <c r="D255" s="499"/>
      <c r="E255" s="499"/>
      <c r="F255" s="499"/>
      <c r="G255" s="500"/>
      <c r="H255" s="356"/>
      <c r="I255" s="429"/>
      <c r="J255" s="452" t="s">
        <v>200</v>
      </c>
      <c r="K255" s="422"/>
      <c r="L255" s="422"/>
      <c r="M255" s="422"/>
      <c r="N255" s="423"/>
    </row>
    <row r="256" hidden="1" spans="2:14">
      <c r="B256" s="498"/>
      <c r="C256" s="499"/>
      <c r="D256" s="499"/>
      <c r="E256" s="499"/>
      <c r="F256" s="499"/>
      <c r="G256" s="500"/>
      <c r="H256" s="356"/>
      <c r="I256" s="429"/>
      <c r="J256" s="452" t="s">
        <v>198</v>
      </c>
      <c r="K256" s="422"/>
      <c r="L256" s="422"/>
      <c r="M256" s="422"/>
      <c r="N256" s="423"/>
    </row>
    <row r="257" hidden="1" spans="2:14">
      <c r="B257" s="498"/>
      <c r="C257" s="499"/>
      <c r="D257" s="499"/>
      <c r="E257" s="499"/>
      <c r="F257" s="499"/>
      <c r="G257" s="500"/>
      <c r="H257" s="356"/>
      <c r="I257" s="429"/>
      <c r="J257" s="452" t="s">
        <v>194</v>
      </c>
      <c r="K257" s="422"/>
      <c r="L257" s="422"/>
      <c r="M257" s="422"/>
      <c r="N257" s="423"/>
    </row>
    <row r="258" hidden="1" spans="2:14">
      <c r="B258" s="498"/>
      <c r="C258" s="499"/>
      <c r="D258" s="499"/>
      <c r="E258" s="499"/>
      <c r="F258" s="499"/>
      <c r="G258" s="500"/>
      <c r="H258" s="356"/>
      <c r="I258" s="429"/>
      <c r="J258" s="452" t="s">
        <v>199</v>
      </c>
      <c r="K258" s="422"/>
      <c r="L258" s="422"/>
      <c r="M258" s="422"/>
      <c r="N258" s="423"/>
    </row>
    <row r="259" hidden="1" spans="2:14">
      <c r="B259" s="498"/>
      <c r="C259" s="499"/>
      <c r="D259" s="499"/>
      <c r="E259" s="499"/>
      <c r="F259" s="499"/>
      <c r="G259" s="500"/>
      <c r="H259" s="356"/>
      <c r="I259" s="429"/>
      <c r="J259" s="452" t="s">
        <v>192</v>
      </c>
      <c r="K259" s="422"/>
      <c r="L259" s="422"/>
      <c r="M259" s="422"/>
      <c r="N259" s="423"/>
    </row>
    <row r="260" hidden="1" spans="2:14">
      <c r="B260" s="498"/>
      <c r="C260" s="499"/>
      <c r="D260" s="499"/>
      <c r="E260" s="499"/>
      <c r="F260" s="499"/>
      <c r="G260" s="500"/>
      <c r="H260" s="356"/>
      <c r="I260" s="429"/>
      <c r="J260" s="452" t="s">
        <v>193</v>
      </c>
      <c r="K260" s="422"/>
      <c r="L260" s="422"/>
      <c r="M260" s="422"/>
      <c r="N260" s="423"/>
    </row>
    <row r="261" hidden="1" spans="2:14">
      <c r="B261" s="498"/>
      <c r="C261" s="499"/>
      <c r="D261" s="499"/>
      <c r="E261" s="499"/>
      <c r="F261" s="499"/>
      <c r="G261" s="500"/>
      <c r="H261" s="356"/>
      <c r="I261" s="429"/>
      <c r="J261" s="452"/>
      <c r="K261" s="422"/>
      <c r="L261" s="422"/>
      <c r="M261" s="422"/>
      <c r="N261" s="423"/>
    </row>
    <row r="262" hidden="1" spans="2:14">
      <c r="B262" s="498"/>
      <c r="C262" s="499"/>
      <c r="D262" s="499"/>
      <c r="E262" s="499"/>
      <c r="F262" s="499"/>
      <c r="G262" s="500"/>
      <c r="H262" s="356"/>
      <c r="I262" s="429"/>
      <c r="J262" s="452"/>
      <c r="K262" s="422"/>
      <c r="L262" s="422"/>
      <c r="M262" s="422"/>
      <c r="N262" s="423"/>
    </row>
    <row r="263" hidden="1" spans="2:14">
      <c r="B263" s="498"/>
      <c r="C263" s="499"/>
      <c r="D263" s="499"/>
      <c r="E263" s="499"/>
      <c r="F263" s="499"/>
      <c r="G263" s="500"/>
      <c r="H263" s="356"/>
      <c r="I263" s="429"/>
      <c r="J263" s="452"/>
      <c r="K263" s="422"/>
      <c r="L263" s="422"/>
      <c r="M263" s="422"/>
      <c r="N263" s="423"/>
    </row>
    <row r="264" hidden="1" spans="2:14">
      <c r="B264" s="498"/>
      <c r="C264" s="499"/>
      <c r="D264" s="499"/>
      <c r="E264" s="499"/>
      <c r="F264" s="499"/>
      <c r="G264" s="500"/>
      <c r="H264" s="356"/>
      <c r="I264" s="429"/>
      <c r="J264" s="452"/>
      <c r="K264" s="422"/>
      <c r="L264" s="422"/>
      <c r="M264" s="422"/>
      <c r="N264" s="423"/>
    </row>
    <row r="265" hidden="1" spans="2:14">
      <c r="B265" s="498"/>
      <c r="C265" s="499"/>
      <c r="D265" s="499"/>
      <c r="E265" s="499"/>
      <c r="F265" s="499"/>
      <c r="G265" s="500"/>
      <c r="H265" s="356"/>
      <c r="I265" s="429"/>
      <c r="J265" s="452"/>
      <c r="K265" s="422"/>
      <c r="L265" s="422"/>
      <c r="M265" s="422"/>
      <c r="N265" s="423"/>
    </row>
    <row r="266" hidden="1" spans="2:14">
      <c r="B266" s="498"/>
      <c r="C266" s="499"/>
      <c r="D266" s="499"/>
      <c r="E266" s="499"/>
      <c r="F266" s="499"/>
      <c r="G266" s="500"/>
      <c r="H266" s="356"/>
      <c r="I266" s="429"/>
      <c r="J266" s="452"/>
      <c r="K266" s="422"/>
      <c r="L266" s="422"/>
      <c r="M266" s="422"/>
      <c r="N266" s="423"/>
    </row>
    <row r="267" spans="2:14">
      <c r="B267" s="498"/>
      <c r="C267" s="499"/>
      <c r="D267" s="499"/>
      <c r="E267" s="499"/>
      <c r="F267" s="499"/>
      <c r="G267" s="500"/>
      <c r="H267" s="356"/>
      <c r="I267" s="429"/>
      <c r="J267" s="503" t="s">
        <v>204</v>
      </c>
      <c r="K267" s="502">
        <f>SUM(K268:K278)</f>
        <v>65000</v>
      </c>
      <c r="L267" s="502">
        <f t="shared" ref="L267" si="60">SUM(L268:L278)</f>
        <v>65000</v>
      </c>
      <c r="M267" s="502">
        <f t="shared" ref="M267" si="61">SUM(M268:M278)</f>
        <v>65000</v>
      </c>
      <c r="N267" s="423"/>
    </row>
    <row r="268" spans="2:14">
      <c r="B268" s="498"/>
      <c r="C268" s="499"/>
      <c r="D268" s="499"/>
      <c r="E268" s="499"/>
      <c r="F268" s="499"/>
      <c r="G268" s="500"/>
      <c r="H268" s="356"/>
      <c r="I268" s="429"/>
      <c r="J268" s="452" t="s">
        <v>180</v>
      </c>
      <c r="K268" s="422">
        <v>35000</v>
      </c>
      <c r="L268" s="422">
        <f>K268</f>
        <v>35000</v>
      </c>
      <c r="M268" s="422">
        <f>K268</f>
        <v>35000</v>
      </c>
      <c r="N268" s="423"/>
    </row>
    <row r="269" hidden="1" spans="2:14">
      <c r="B269" s="498"/>
      <c r="C269" s="499"/>
      <c r="D269" s="499"/>
      <c r="E269" s="499"/>
      <c r="F269" s="499"/>
      <c r="G269" s="500"/>
      <c r="H269" s="356"/>
      <c r="I269" s="429"/>
      <c r="J269" s="452" t="s">
        <v>205</v>
      </c>
      <c r="K269" s="422"/>
      <c r="L269" s="422"/>
      <c r="M269" s="422"/>
      <c r="N269" s="423"/>
    </row>
    <row r="270" spans="2:14">
      <c r="B270" s="498"/>
      <c r="C270" s="499"/>
      <c r="D270" s="499"/>
      <c r="E270" s="499"/>
      <c r="F270" s="499"/>
      <c r="G270" s="500"/>
      <c r="H270" s="356"/>
      <c r="I270" s="429"/>
      <c r="J270" s="446" t="s">
        <v>181</v>
      </c>
      <c r="K270" s="422">
        <v>30000</v>
      </c>
      <c r="L270" s="422">
        <f>K270</f>
        <v>30000</v>
      </c>
      <c r="M270" s="422">
        <f>K270</f>
        <v>30000</v>
      </c>
      <c r="N270" s="423"/>
    </row>
    <row r="271" hidden="1" spans="2:14">
      <c r="B271" s="498"/>
      <c r="C271" s="499"/>
      <c r="D271" s="499"/>
      <c r="E271" s="499"/>
      <c r="F271" s="499"/>
      <c r="G271" s="500"/>
      <c r="H271" s="356"/>
      <c r="I271" s="429"/>
      <c r="J271" s="452" t="s">
        <v>184</v>
      </c>
      <c r="K271" s="422"/>
      <c r="L271" s="422"/>
      <c r="M271" s="422"/>
      <c r="N271" s="423"/>
    </row>
    <row r="272" hidden="1" spans="2:14">
      <c r="B272" s="498"/>
      <c r="C272" s="499"/>
      <c r="D272" s="499"/>
      <c r="E272" s="499"/>
      <c r="F272" s="499"/>
      <c r="G272" s="500"/>
      <c r="H272" s="356"/>
      <c r="I272" s="429"/>
      <c r="J272" s="452" t="s">
        <v>188</v>
      </c>
      <c r="K272" s="422"/>
      <c r="L272" s="422"/>
      <c r="M272" s="422"/>
      <c r="N272" s="423"/>
    </row>
    <row r="273" hidden="1" spans="2:14">
      <c r="B273" s="498"/>
      <c r="C273" s="499"/>
      <c r="D273" s="499"/>
      <c r="E273" s="499"/>
      <c r="F273" s="499"/>
      <c r="G273" s="500"/>
      <c r="H273" s="356"/>
      <c r="I273" s="429"/>
      <c r="J273" s="452" t="s">
        <v>200</v>
      </c>
      <c r="K273" s="422"/>
      <c r="L273" s="422"/>
      <c r="M273" s="422"/>
      <c r="N273" s="423"/>
    </row>
    <row r="274" hidden="1" spans="2:14">
      <c r="B274" s="498"/>
      <c r="C274" s="499"/>
      <c r="D274" s="499"/>
      <c r="E274" s="499"/>
      <c r="F274" s="499"/>
      <c r="G274" s="500"/>
      <c r="H274" s="356"/>
      <c r="I274" s="429"/>
      <c r="J274" s="452" t="s">
        <v>198</v>
      </c>
      <c r="K274" s="422"/>
      <c r="L274" s="422"/>
      <c r="M274" s="422"/>
      <c r="N274" s="423"/>
    </row>
    <row r="275" hidden="1" spans="2:14">
      <c r="B275" s="498"/>
      <c r="C275" s="499"/>
      <c r="D275" s="499"/>
      <c r="E275" s="499"/>
      <c r="F275" s="499"/>
      <c r="G275" s="500"/>
      <c r="H275" s="356"/>
      <c r="I275" s="429"/>
      <c r="J275" s="452" t="s">
        <v>194</v>
      </c>
      <c r="K275" s="422"/>
      <c r="L275" s="422"/>
      <c r="M275" s="422"/>
      <c r="N275" s="423"/>
    </row>
    <row r="276" hidden="1" spans="2:14">
      <c r="B276" s="498"/>
      <c r="C276" s="499"/>
      <c r="D276" s="499"/>
      <c r="E276" s="499"/>
      <c r="F276" s="499"/>
      <c r="G276" s="500"/>
      <c r="H276" s="356"/>
      <c r="I276" s="429"/>
      <c r="J276" s="452" t="s">
        <v>199</v>
      </c>
      <c r="K276" s="422"/>
      <c r="L276" s="422"/>
      <c r="M276" s="422"/>
      <c r="N276" s="423"/>
    </row>
    <row r="277" hidden="1" spans="2:14">
      <c r="B277" s="498"/>
      <c r="C277" s="499"/>
      <c r="D277" s="499"/>
      <c r="E277" s="499"/>
      <c r="F277" s="499"/>
      <c r="G277" s="500"/>
      <c r="H277" s="356"/>
      <c r="I277" s="429"/>
      <c r="J277" s="452" t="s">
        <v>192</v>
      </c>
      <c r="K277" s="422"/>
      <c r="L277" s="422"/>
      <c r="M277" s="422"/>
      <c r="N277" s="423"/>
    </row>
    <row r="278" hidden="1" spans="2:14">
      <c r="B278" s="498"/>
      <c r="C278" s="499"/>
      <c r="D278" s="499"/>
      <c r="E278" s="499"/>
      <c r="F278" s="499"/>
      <c r="G278" s="500"/>
      <c r="H278" s="356"/>
      <c r="I278" s="429"/>
      <c r="J278" s="452" t="s">
        <v>193</v>
      </c>
      <c r="K278" s="422"/>
      <c r="L278" s="422"/>
      <c r="M278" s="422"/>
      <c r="N278" s="423"/>
    </row>
    <row r="279" hidden="1" spans="2:14">
      <c r="B279" s="498"/>
      <c r="C279" s="499"/>
      <c r="D279" s="499"/>
      <c r="E279" s="499"/>
      <c r="F279" s="499"/>
      <c r="G279" s="500"/>
      <c r="H279" s="356"/>
      <c r="I279" s="429"/>
      <c r="J279" s="452"/>
      <c r="K279" s="422"/>
      <c r="L279" s="422"/>
      <c r="M279" s="422"/>
      <c r="N279" s="423"/>
    </row>
    <row r="280" hidden="1" spans="2:14">
      <c r="B280" s="498"/>
      <c r="C280" s="499"/>
      <c r="D280" s="499"/>
      <c r="E280" s="499"/>
      <c r="F280" s="499"/>
      <c r="G280" s="500"/>
      <c r="H280" s="356"/>
      <c r="I280" s="429"/>
      <c r="J280" s="452"/>
      <c r="K280" s="422"/>
      <c r="L280" s="422"/>
      <c r="M280" s="422"/>
      <c r="N280" s="423"/>
    </row>
    <row r="281" hidden="1" spans="2:14">
      <c r="B281" s="498"/>
      <c r="C281" s="499"/>
      <c r="D281" s="499"/>
      <c r="E281" s="499"/>
      <c r="F281" s="499"/>
      <c r="G281" s="500"/>
      <c r="H281" s="356"/>
      <c r="I281" s="429"/>
      <c r="J281" s="452"/>
      <c r="K281" s="422"/>
      <c r="L281" s="422"/>
      <c r="M281" s="422"/>
      <c r="N281" s="423"/>
    </row>
    <row r="282" hidden="1" spans="2:14">
      <c r="B282" s="498"/>
      <c r="C282" s="499"/>
      <c r="D282" s="499"/>
      <c r="E282" s="499"/>
      <c r="F282" s="499"/>
      <c r="G282" s="500"/>
      <c r="H282" s="356"/>
      <c r="I282" s="429"/>
      <c r="J282" s="452"/>
      <c r="K282" s="422"/>
      <c r="L282" s="422"/>
      <c r="M282" s="422"/>
      <c r="N282" s="423"/>
    </row>
    <row r="283" ht="17.25" hidden="1" customHeight="1" spans="2:14">
      <c r="B283" s="498"/>
      <c r="C283" s="499"/>
      <c r="D283" s="499"/>
      <c r="E283" s="499"/>
      <c r="F283" s="499"/>
      <c r="G283" s="500"/>
      <c r="H283" s="356"/>
      <c r="I283" s="429"/>
      <c r="J283" s="452"/>
      <c r="K283" s="422"/>
      <c r="L283" s="422"/>
      <c r="M283" s="422"/>
      <c r="N283" s="423"/>
    </row>
    <row r="284" hidden="1" spans="2:14">
      <c r="B284" s="498"/>
      <c r="C284" s="499"/>
      <c r="D284" s="499"/>
      <c r="E284" s="499"/>
      <c r="F284" s="499"/>
      <c r="G284" s="500"/>
      <c r="H284" s="356"/>
      <c r="I284" s="429"/>
      <c r="J284" s="452"/>
      <c r="K284" s="422"/>
      <c r="L284" s="422"/>
      <c r="M284" s="422"/>
      <c r="N284" s="423"/>
    </row>
    <row r="285" spans="2:14">
      <c r="B285" s="498"/>
      <c r="C285" s="499"/>
      <c r="D285" s="499"/>
      <c r="E285" s="499"/>
      <c r="F285" s="499"/>
      <c r="G285" s="500"/>
      <c r="H285" s="356"/>
      <c r="I285" s="429"/>
      <c r="J285" s="503" t="s">
        <v>206</v>
      </c>
      <c r="K285" s="502">
        <f>SUM(K286:K296)</f>
        <v>451687</v>
      </c>
      <c r="L285" s="502">
        <f t="shared" ref="L285" si="62">SUM(L286:L296)</f>
        <v>403087</v>
      </c>
      <c r="M285" s="502">
        <f t="shared" ref="M285" si="63">SUM(M286:M296)</f>
        <v>403087</v>
      </c>
      <c r="N285" s="423"/>
    </row>
    <row r="286" spans="2:14">
      <c r="B286" s="498"/>
      <c r="C286" s="499"/>
      <c r="D286" s="499"/>
      <c r="E286" s="499"/>
      <c r="F286" s="499"/>
      <c r="G286" s="500"/>
      <c r="H286" s="356"/>
      <c r="I286" s="429"/>
      <c r="J286" s="452" t="s">
        <v>180</v>
      </c>
      <c r="K286" s="422">
        <f>153000-6143</f>
        <v>146857</v>
      </c>
      <c r="L286" s="422">
        <f>K286</f>
        <v>146857</v>
      </c>
      <c r="M286" s="422">
        <f>K286</f>
        <v>146857</v>
      </c>
      <c r="N286" s="423"/>
    </row>
    <row r="287" hidden="1" spans="2:14">
      <c r="B287" s="498"/>
      <c r="C287" s="499"/>
      <c r="D287" s="499"/>
      <c r="E287" s="499"/>
      <c r="F287" s="499"/>
      <c r="G287" s="500"/>
      <c r="H287" s="356"/>
      <c r="I287" s="429"/>
      <c r="J287" s="452" t="s">
        <v>196</v>
      </c>
      <c r="K287" s="422"/>
      <c r="L287" s="422"/>
      <c r="M287" s="422"/>
      <c r="N287" s="423"/>
    </row>
    <row r="288" spans="2:14">
      <c r="B288" s="498"/>
      <c r="C288" s="499"/>
      <c r="D288" s="499"/>
      <c r="E288" s="499"/>
      <c r="F288" s="499"/>
      <c r="G288" s="500"/>
      <c r="H288" s="356"/>
      <c r="I288" s="429"/>
      <c r="J288" s="446" t="s">
        <v>181</v>
      </c>
      <c r="K288" s="422">
        <f>54300+48600</f>
        <v>102900</v>
      </c>
      <c r="L288" s="422">
        <v>54300</v>
      </c>
      <c r="M288" s="422">
        <f>L288</f>
        <v>54300</v>
      </c>
      <c r="N288" s="423"/>
    </row>
    <row r="289" spans="2:14">
      <c r="B289" s="498"/>
      <c r="C289" s="499"/>
      <c r="D289" s="499"/>
      <c r="E289" s="499"/>
      <c r="F289" s="499"/>
      <c r="G289" s="500"/>
      <c r="H289" s="356"/>
      <c r="I289" s="429"/>
      <c r="J289" s="452" t="s">
        <v>184</v>
      </c>
      <c r="K289" s="422">
        <v>201930</v>
      </c>
      <c r="L289" s="422">
        <f>K289</f>
        <v>201930</v>
      </c>
      <c r="M289" s="422">
        <f>K289</f>
        <v>201930</v>
      </c>
      <c r="N289" s="423"/>
    </row>
    <row r="290" hidden="1" spans="2:14">
      <c r="B290" s="498"/>
      <c r="C290" s="499"/>
      <c r="D290" s="499"/>
      <c r="E290" s="499"/>
      <c r="F290" s="499"/>
      <c r="G290" s="500"/>
      <c r="H290" s="356"/>
      <c r="I290" s="429"/>
      <c r="J290" s="452" t="s">
        <v>188</v>
      </c>
      <c r="K290" s="422"/>
      <c r="L290" s="422"/>
      <c r="M290" s="422"/>
      <c r="N290" s="423"/>
    </row>
    <row r="291" hidden="1" spans="2:14">
      <c r="B291" s="498"/>
      <c r="C291" s="499"/>
      <c r="D291" s="499"/>
      <c r="E291" s="499"/>
      <c r="F291" s="499"/>
      <c r="G291" s="500"/>
      <c r="H291" s="356"/>
      <c r="I291" s="429"/>
      <c r="J291" s="452" t="s">
        <v>190</v>
      </c>
      <c r="K291" s="422"/>
      <c r="L291" s="422"/>
      <c r="M291" s="422"/>
      <c r="N291" s="423"/>
    </row>
    <row r="292" hidden="1" spans="2:14">
      <c r="B292" s="498"/>
      <c r="C292" s="499"/>
      <c r="D292" s="499"/>
      <c r="E292" s="499"/>
      <c r="F292" s="499"/>
      <c r="G292" s="500"/>
      <c r="H292" s="356"/>
      <c r="I292" s="429"/>
      <c r="J292" s="452" t="s">
        <v>198</v>
      </c>
      <c r="K292" s="422"/>
      <c r="L292" s="422"/>
      <c r="M292" s="422"/>
      <c r="N292" s="423"/>
    </row>
    <row r="293" hidden="1" spans="2:14">
      <c r="B293" s="498"/>
      <c r="C293" s="499"/>
      <c r="D293" s="499"/>
      <c r="E293" s="499"/>
      <c r="F293" s="499"/>
      <c r="G293" s="500"/>
      <c r="H293" s="356"/>
      <c r="I293" s="429"/>
      <c r="J293" s="452" t="s">
        <v>194</v>
      </c>
      <c r="K293" s="422"/>
      <c r="L293" s="422"/>
      <c r="M293" s="422"/>
      <c r="N293" s="423"/>
    </row>
    <row r="294" hidden="1" spans="2:14">
      <c r="B294" s="498"/>
      <c r="C294" s="499"/>
      <c r="D294" s="499"/>
      <c r="E294" s="499"/>
      <c r="F294" s="499"/>
      <c r="G294" s="500"/>
      <c r="H294" s="356"/>
      <c r="I294" s="429"/>
      <c r="J294" s="452" t="s">
        <v>199</v>
      </c>
      <c r="K294" s="422"/>
      <c r="L294" s="422"/>
      <c r="M294" s="422"/>
      <c r="N294" s="423"/>
    </row>
    <row r="295" hidden="1" spans="2:14">
      <c r="B295" s="498"/>
      <c r="C295" s="499"/>
      <c r="D295" s="499"/>
      <c r="E295" s="499"/>
      <c r="F295" s="499"/>
      <c r="G295" s="500"/>
      <c r="H295" s="356"/>
      <c r="I295" s="429"/>
      <c r="J295" s="452" t="s">
        <v>192</v>
      </c>
      <c r="K295" s="422"/>
      <c r="L295" s="422"/>
      <c r="M295" s="422"/>
      <c r="N295" s="423"/>
    </row>
    <row r="296" hidden="1" spans="2:14">
      <c r="B296" s="498"/>
      <c r="C296" s="499"/>
      <c r="D296" s="499"/>
      <c r="E296" s="499"/>
      <c r="F296" s="499"/>
      <c r="G296" s="500"/>
      <c r="H296" s="356"/>
      <c r="I296" s="429"/>
      <c r="J296" s="452" t="s">
        <v>193</v>
      </c>
      <c r="K296" s="422"/>
      <c r="L296" s="422"/>
      <c r="M296" s="422"/>
      <c r="N296" s="423"/>
    </row>
    <row r="297" hidden="1" spans="2:14">
      <c r="B297" s="498"/>
      <c r="C297" s="499"/>
      <c r="D297" s="499"/>
      <c r="E297" s="499"/>
      <c r="F297" s="499"/>
      <c r="G297" s="500"/>
      <c r="H297" s="356"/>
      <c r="I297" s="429"/>
      <c r="J297" s="452"/>
      <c r="K297" s="422"/>
      <c r="L297" s="422"/>
      <c r="M297" s="422"/>
      <c r="N297" s="423"/>
    </row>
    <row r="298" hidden="1" spans="2:14">
      <c r="B298" s="498"/>
      <c r="C298" s="499"/>
      <c r="D298" s="499"/>
      <c r="E298" s="499"/>
      <c r="F298" s="499"/>
      <c r="G298" s="500"/>
      <c r="H298" s="356"/>
      <c r="I298" s="429"/>
      <c r="J298" s="452"/>
      <c r="K298" s="422"/>
      <c r="L298" s="422"/>
      <c r="M298" s="422"/>
      <c r="N298" s="423"/>
    </row>
    <row r="299" hidden="1" spans="2:14">
      <c r="B299" s="498"/>
      <c r="C299" s="499"/>
      <c r="D299" s="499"/>
      <c r="E299" s="499"/>
      <c r="F299" s="499"/>
      <c r="G299" s="500"/>
      <c r="H299" s="356"/>
      <c r="I299" s="429"/>
      <c r="J299" s="452"/>
      <c r="K299" s="422"/>
      <c r="L299" s="422"/>
      <c r="M299" s="422"/>
      <c r="N299" s="423"/>
    </row>
    <row r="300" hidden="1" spans="2:14">
      <c r="B300" s="498"/>
      <c r="C300" s="499"/>
      <c r="D300" s="499"/>
      <c r="E300" s="499"/>
      <c r="F300" s="499"/>
      <c r="G300" s="500"/>
      <c r="H300" s="356"/>
      <c r="I300" s="429"/>
      <c r="J300" s="452"/>
      <c r="K300" s="422"/>
      <c r="L300" s="422"/>
      <c r="M300" s="422"/>
      <c r="N300" s="423"/>
    </row>
    <row r="301" hidden="1" spans="2:14">
      <c r="B301" s="498"/>
      <c r="C301" s="499"/>
      <c r="D301" s="499"/>
      <c r="E301" s="499"/>
      <c r="F301" s="499"/>
      <c r="G301" s="500"/>
      <c r="H301" s="356"/>
      <c r="I301" s="429"/>
      <c r="J301" s="421"/>
      <c r="K301" s="422"/>
      <c r="L301" s="422"/>
      <c r="M301" s="422"/>
      <c r="N301" s="423"/>
    </row>
    <row r="302" hidden="1" spans="2:14">
      <c r="B302" s="498"/>
      <c r="C302" s="499"/>
      <c r="D302" s="499"/>
      <c r="E302" s="499"/>
      <c r="F302" s="499"/>
      <c r="G302" s="500"/>
      <c r="H302" s="356"/>
      <c r="I302" s="429"/>
      <c r="J302" s="421"/>
      <c r="K302" s="422"/>
      <c r="L302" s="422"/>
      <c r="M302" s="422"/>
      <c r="N302" s="423"/>
    </row>
    <row r="303" hidden="1" spans="2:14">
      <c r="B303" s="498"/>
      <c r="C303" s="499"/>
      <c r="D303" s="499"/>
      <c r="E303" s="499"/>
      <c r="F303" s="499"/>
      <c r="G303" s="500"/>
      <c r="H303" s="356"/>
      <c r="I303" s="429"/>
      <c r="J303" s="421"/>
      <c r="K303" s="422"/>
      <c r="L303" s="422"/>
      <c r="M303" s="422"/>
      <c r="N303" s="423"/>
    </row>
    <row r="304" hidden="1" spans="2:14">
      <c r="B304" s="498"/>
      <c r="C304" s="499"/>
      <c r="D304" s="499"/>
      <c r="E304" s="499"/>
      <c r="F304" s="499"/>
      <c r="G304" s="500"/>
      <c r="H304" s="356"/>
      <c r="I304" s="429"/>
      <c r="J304" s="421"/>
      <c r="K304" s="422"/>
      <c r="L304" s="422"/>
      <c r="M304" s="422"/>
      <c r="N304" s="423"/>
    </row>
    <row r="305" s="326" customFormat="1" spans="2:18">
      <c r="B305" s="504" t="s">
        <v>153</v>
      </c>
      <c r="C305" s="505"/>
      <c r="D305" s="505"/>
      <c r="E305" s="505"/>
      <c r="F305" s="505"/>
      <c r="G305" s="506"/>
      <c r="H305" s="507" t="s">
        <v>154</v>
      </c>
      <c r="I305" s="516" t="s">
        <v>155</v>
      </c>
      <c r="J305" s="443"/>
      <c r="K305" s="444">
        <f>K307</f>
        <v>65012</v>
      </c>
      <c r="L305" s="444">
        <f t="shared" ref="L305:M305" si="64">L307</f>
        <v>0</v>
      </c>
      <c r="M305" s="444">
        <f t="shared" si="64"/>
        <v>0</v>
      </c>
      <c r="N305" s="480"/>
      <c r="O305" s="329"/>
      <c r="P305" s="329"/>
      <c r="Q305" s="329"/>
      <c r="R305" s="327"/>
    </row>
    <row r="306" ht="24.75" customHeight="1" spans="2:18">
      <c r="B306" s="508" t="s">
        <v>156</v>
      </c>
      <c r="C306" s="346"/>
      <c r="D306" s="346"/>
      <c r="E306" s="346"/>
      <c r="F306" s="346"/>
      <c r="G306" s="509"/>
      <c r="H306" s="356" t="s">
        <v>157</v>
      </c>
      <c r="I306" s="429" t="s">
        <v>158</v>
      </c>
      <c r="J306" s="421"/>
      <c r="K306" s="422"/>
      <c r="L306" s="422"/>
      <c r="M306" s="422"/>
      <c r="N306" s="423"/>
      <c r="O306" s="517"/>
      <c r="P306" s="517"/>
      <c r="Q306" s="517"/>
      <c r="R306" s="326"/>
    </row>
    <row r="307" ht="23.25" customHeight="1" spans="2:14">
      <c r="B307" s="508" t="s">
        <v>159</v>
      </c>
      <c r="C307" s="346"/>
      <c r="D307" s="346"/>
      <c r="E307" s="346"/>
      <c r="F307" s="346"/>
      <c r="G307" s="509"/>
      <c r="H307" s="356" t="s">
        <v>160</v>
      </c>
      <c r="I307" s="429" t="s">
        <v>161</v>
      </c>
      <c r="J307" s="448" t="s">
        <v>162</v>
      </c>
      <c r="K307" s="449">
        <f>K308</f>
        <v>65012</v>
      </c>
      <c r="L307" s="449">
        <f t="shared" ref="L307:M307" si="65">L308</f>
        <v>0</v>
      </c>
      <c r="M307" s="449">
        <f t="shared" si="65"/>
        <v>0</v>
      </c>
      <c r="N307" s="422"/>
    </row>
    <row r="308" spans="2:14">
      <c r="B308" s="364"/>
      <c r="C308" s="499"/>
      <c r="D308" s="499"/>
      <c r="E308" s="499"/>
      <c r="F308" s="499"/>
      <c r="G308" s="499"/>
      <c r="H308" s="356"/>
      <c r="I308" s="429"/>
      <c r="J308" s="452" t="s">
        <v>184</v>
      </c>
      <c r="K308" s="422">
        <v>65012</v>
      </c>
      <c r="L308" s="422"/>
      <c r="M308" s="422"/>
      <c r="N308" s="423"/>
    </row>
    <row r="309" spans="2:14">
      <c r="B309" s="364"/>
      <c r="C309" s="499"/>
      <c r="D309" s="499"/>
      <c r="E309" s="499"/>
      <c r="F309" s="499"/>
      <c r="G309" s="499"/>
      <c r="H309" s="356"/>
      <c r="I309" s="429"/>
      <c r="J309" s="421"/>
      <c r="K309" s="422"/>
      <c r="L309" s="422"/>
      <c r="M309" s="422"/>
      <c r="N309" s="423"/>
    </row>
    <row r="310" s="326" customFormat="1" spans="1:71">
      <c r="A310" s="327"/>
      <c r="B310" s="510" t="s">
        <v>163</v>
      </c>
      <c r="C310" s="511"/>
      <c r="D310" s="511"/>
      <c r="E310" s="511"/>
      <c r="F310" s="511"/>
      <c r="G310" s="511"/>
      <c r="H310" s="512" t="s">
        <v>164</v>
      </c>
      <c r="I310" s="518" t="s">
        <v>46</v>
      </c>
      <c r="J310" s="443"/>
      <c r="K310" s="444"/>
      <c r="L310" s="444"/>
      <c r="M310" s="444"/>
      <c r="N310" s="480" t="s">
        <v>46</v>
      </c>
      <c r="O310" s="329"/>
      <c r="P310" s="329"/>
      <c r="Q310" s="329"/>
      <c r="R310" s="327"/>
      <c r="S310" s="327"/>
      <c r="T310" s="327"/>
      <c r="U310" s="327"/>
      <c r="V310" s="327"/>
      <c r="W310" s="327"/>
      <c r="X310" s="327"/>
      <c r="Y310" s="327"/>
      <c r="Z310" s="327"/>
      <c r="AA310" s="327"/>
      <c r="AB310" s="327"/>
      <c r="AC310" s="327"/>
      <c r="AD310" s="327"/>
      <c r="AE310" s="327"/>
      <c r="AF310" s="327"/>
      <c r="AG310" s="327"/>
      <c r="AH310" s="327"/>
      <c r="AI310" s="327"/>
      <c r="AJ310" s="327"/>
      <c r="AK310" s="327"/>
      <c r="AL310" s="327"/>
      <c r="AM310" s="327"/>
      <c r="AN310" s="327"/>
      <c r="AO310" s="327"/>
      <c r="AP310" s="327"/>
      <c r="AQ310" s="327"/>
      <c r="AR310" s="327"/>
      <c r="AS310" s="327"/>
      <c r="AT310" s="327"/>
      <c r="AU310" s="327"/>
      <c r="AV310" s="327"/>
      <c r="AW310" s="327"/>
      <c r="AX310" s="327"/>
      <c r="AY310" s="327"/>
      <c r="AZ310" s="327"/>
      <c r="BA310" s="327"/>
      <c r="BB310" s="327"/>
      <c r="BC310" s="327"/>
      <c r="BD310" s="327"/>
      <c r="BE310" s="327"/>
      <c r="BF310" s="327"/>
      <c r="BG310" s="327"/>
      <c r="BH310" s="327"/>
      <c r="BI310" s="327"/>
      <c r="BJ310" s="327"/>
      <c r="BK310" s="327"/>
      <c r="BL310" s="327"/>
      <c r="BM310" s="327"/>
      <c r="BN310" s="327"/>
      <c r="BO310" s="327"/>
      <c r="BP310" s="327"/>
      <c r="BQ310" s="327"/>
      <c r="BR310" s="327"/>
      <c r="BS310" s="327"/>
    </row>
    <row r="311" ht="15.75" spans="2:14">
      <c r="B311" s="513" t="s">
        <v>165</v>
      </c>
      <c r="C311" s="514"/>
      <c r="D311" s="514"/>
      <c r="E311" s="514"/>
      <c r="F311" s="514"/>
      <c r="G311" s="514"/>
      <c r="H311" s="515" t="s">
        <v>166</v>
      </c>
      <c r="I311" s="519" t="s">
        <v>167</v>
      </c>
      <c r="J311" s="520"/>
      <c r="K311" s="521"/>
      <c r="L311" s="521"/>
      <c r="M311" s="521"/>
      <c r="N311" s="522" t="s">
        <v>46</v>
      </c>
    </row>
  </sheetData>
  <mergeCells count="185">
    <mergeCell ref="K1:N1"/>
    <mergeCell ref="P1:BS1"/>
    <mergeCell ref="K2:N2"/>
    <mergeCell ref="P2:BS2"/>
    <mergeCell ref="K4:N4"/>
    <mergeCell ref="K5:N5"/>
    <mergeCell ref="K6:N6"/>
    <mergeCell ref="K7:N7"/>
    <mergeCell ref="K8:N8"/>
    <mergeCell ref="K9:N9"/>
    <mergeCell ref="K10:L10"/>
    <mergeCell ref="M10:N10"/>
    <mergeCell ref="K11:N11"/>
    <mergeCell ref="D15:J15"/>
    <mergeCell ref="D16:J16"/>
    <mergeCell ref="D17:J17"/>
    <mergeCell ref="B18:D18"/>
    <mergeCell ref="B19:E19"/>
    <mergeCell ref="F19:I19"/>
    <mergeCell ref="D20:L20"/>
    <mergeCell ref="K24:N24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4:G44"/>
    <mergeCell ref="B45:G45"/>
    <mergeCell ref="B46:G46"/>
    <mergeCell ref="B47:G47"/>
    <mergeCell ref="B48:G48"/>
    <mergeCell ref="B49:G49"/>
    <mergeCell ref="B50:G50"/>
    <mergeCell ref="B51:G51"/>
    <mergeCell ref="B52:G52"/>
    <mergeCell ref="B53:G53"/>
    <mergeCell ref="B54:G54"/>
    <mergeCell ref="B55:G55"/>
    <mergeCell ref="B56:G56"/>
    <mergeCell ref="B57:G57"/>
    <mergeCell ref="B58:G58"/>
    <mergeCell ref="B60:G60"/>
    <mergeCell ref="B63:G63"/>
    <mergeCell ref="B66:G66"/>
    <mergeCell ref="B75:G75"/>
    <mergeCell ref="B79:G79"/>
    <mergeCell ref="B80:G80"/>
    <mergeCell ref="B81:G81"/>
    <mergeCell ref="B91:G91"/>
    <mergeCell ref="B94:G94"/>
    <mergeCell ref="B95:G95"/>
    <mergeCell ref="B96:G96"/>
    <mergeCell ref="B98:G98"/>
    <mergeCell ref="B100:G100"/>
    <mergeCell ref="B102:G102"/>
    <mergeCell ref="B104:G104"/>
    <mergeCell ref="B105:G105"/>
    <mergeCell ref="B108:G108"/>
    <mergeCell ref="B109:G109"/>
    <mergeCell ref="B114:G114"/>
    <mergeCell ref="B115:G115"/>
    <mergeCell ref="B116:G116"/>
    <mergeCell ref="B117:G117"/>
    <mergeCell ref="B118:G118"/>
    <mergeCell ref="B119:G119"/>
    <mergeCell ref="B120:G120"/>
    <mergeCell ref="B121:G121"/>
    <mergeCell ref="B123:G123"/>
    <mergeCell ref="B124:G124"/>
    <mergeCell ref="B125:G125"/>
    <mergeCell ref="B127:G127"/>
    <mergeCell ref="B128:G128"/>
    <mergeCell ref="B129:G129"/>
    <mergeCell ref="B130:G130"/>
    <mergeCell ref="B131:G131"/>
    <mergeCell ref="B132:G132"/>
    <mergeCell ref="B133:G133"/>
    <mergeCell ref="B134:G134"/>
    <mergeCell ref="B135:G135"/>
    <mergeCell ref="B136:G136"/>
    <mergeCell ref="B137:G137"/>
    <mergeCell ref="B138:G138"/>
    <mergeCell ref="B139:G139"/>
    <mergeCell ref="B140:G140"/>
    <mergeCell ref="B141:G141"/>
    <mergeCell ref="B142:G142"/>
    <mergeCell ref="B143:G143"/>
    <mergeCell ref="B144:G144"/>
    <mergeCell ref="B145:G145"/>
    <mergeCell ref="B146:G146"/>
    <mergeCell ref="B147:G147"/>
    <mergeCell ref="B148:G148"/>
    <mergeCell ref="B150:G150"/>
    <mergeCell ref="B151:G151"/>
    <mergeCell ref="B152:G152"/>
    <mergeCell ref="B153:G153"/>
    <mergeCell ref="B154:G154"/>
    <mergeCell ref="B155:G155"/>
    <mergeCell ref="B156:G156"/>
    <mergeCell ref="B157:G157"/>
    <mergeCell ref="B158:G158"/>
    <mergeCell ref="B168:G168"/>
    <mergeCell ref="B169:G169"/>
    <mergeCell ref="B170:G170"/>
    <mergeCell ref="B172:G172"/>
    <mergeCell ref="B173:G173"/>
    <mergeCell ref="B174:G174"/>
    <mergeCell ref="B175:G175"/>
    <mergeCell ref="B176:G176"/>
    <mergeCell ref="B178:G178"/>
    <mergeCell ref="B179:G179"/>
    <mergeCell ref="B180:G180"/>
    <mergeCell ref="B186:G186"/>
    <mergeCell ref="B187:G187"/>
    <mergeCell ref="B188:G188"/>
    <mergeCell ref="B190:G190"/>
    <mergeCell ref="B191:G191"/>
    <mergeCell ref="B193:G193"/>
    <mergeCell ref="B194:G194"/>
    <mergeCell ref="B195:G195"/>
    <mergeCell ref="B197:G197"/>
    <mergeCell ref="B198:G198"/>
    <mergeCell ref="B204:G204"/>
    <mergeCell ref="B205:G205"/>
    <mergeCell ref="B206:G206"/>
    <mergeCell ref="B223:G223"/>
    <mergeCell ref="B224:G224"/>
    <mergeCell ref="B305:G305"/>
    <mergeCell ref="B306:G306"/>
    <mergeCell ref="B307:G307"/>
    <mergeCell ref="B310:G310"/>
    <mergeCell ref="B311:G311"/>
    <mergeCell ref="H24:H26"/>
    <mergeCell ref="H32:H33"/>
    <mergeCell ref="H38:H39"/>
    <mergeCell ref="H41:H42"/>
    <mergeCell ref="H44:H45"/>
    <mergeCell ref="H48:H49"/>
    <mergeCell ref="I24:I26"/>
    <mergeCell ref="I32:I33"/>
    <mergeCell ref="I38:I39"/>
    <mergeCell ref="I41:I42"/>
    <mergeCell ref="I44:I45"/>
    <mergeCell ref="I48:I49"/>
    <mergeCell ref="J24:J26"/>
    <mergeCell ref="J32:J33"/>
    <mergeCell ref="J38:J39"/>
    <mergeCell ref="J41:J42"/>
    <mergeCell ref="J44:J45"/>
    <mergeCell ref="J48:J49"/>
    <mergeCell ref="K32:K33"/>
    <mergeCell ref="K38:K39"/>
    <mergeCell ref="K41:K42"/>
    <mergeCell ref="K44:K45"/>
    <mergeCell ref="K48:K49"/>
    <mergeCell ref="L32:L33"/>
    <mergeCell ref="L38:L39"/>
    <mergeCell ref="L41:L42"/>
    <mergeCell ref="L44:L45"/>
    <mergeCell ref="L48:L49"/>
    <mergeCell ref="M32:M33"/>
    <mergeCell ref="M38:M39"/>
    <mergeCell ref="M41:M42"/>
    <mergeCell ref="M44:M45"/>
    <mergeCell ref="M48:M49"/>
    <mergeCell ref="N13:N14"/>
    <mergeCell ref="N25:N26"/>
    <mergeCell ref="N32:N33"/>
    <mergeCell ref="N38:N39"/>
    <mergeCell ref="N41:N42"/>
    <mergeCell ref="N44:N45"/>
    <mergeCell ref="N48:N49"/>
    <mergeCell ref="B24:G26"/>
  </mergeCells>
  <pageMargins left="0" right="0" top="0" bottom="0" header="0.31496062992126" footer="0.31496062992126"/>
  <pageSetup paperSize="9" scale="73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H56"/>
  <sheetViews>
    <sheetView tabSelected="1" zoomScaleSheetLayoutView="110" topLeftCell="A16" workbookViewId="0">
      <selection activeCell="A50" sqref="A50:FE50"/>
    </sheetView>
  </sheetViews>
  <sheetFormatPr defaultColWidth="0.857142857142857" defaultRowHeight="11.25"/>
  <cols>
    <col min="1" max="60" width="0.857142857142857" style="179"/>
    <col min="61" max="61" width="0.857142857142857" style="179" customWidth="1"/>
    <col min="62" max="64" width="0.857142857142857" style="179"/>
    <col min="65" max="65" width="0.857142857142857" style="179" customWidth="1"/>
    <col min="66" max="75" width="0.857142857142857" style="179"/>
    <col min="76" max="77" width="0.857142857142857" style="179" customWidth="1"/>
    <col min="78" max="163" width="0.857142857142857" style="179"/>
    <col min="164" max="164" width="11.1428571428571" style="179" customWidth="1"/>
    <col min="165" max="316" width="0.857142857142857" style="179"/>
    <col min="317" max="317" width="0.857142857142857" style="179" customWidth="1"/>
    <col min="318" max="320" width="0.857142857142857" style="179"/>
    <col min="321" max="321" width="0.857142857142857" style="179" customWidth="1"/>
    <col min="322" max="331" width="0.857142857142857" style="179"/>
    <col min="332" max="333" width="0.857142857142857" style="179" customWidth="1"/>
    <col min="334" max="572" width="0.857142857142857" style="179"/>
    <col min="573" max="573" width="0.857142857142857" style="179" customWidth="1"/>
    <col min="574" max="576" width="0.857142857142857" style="179"/>
    <col min="577" max="577" width="0.857142857142857" style="179" customWidth="1"/>
    <col min="578" max="587" width="0.857142857142857" style="179"/>
    <col min="588" max="589" width="0.857142857142857" style="179" customWidth="1"/>
    <col min="590" max="828" width="0.857142857142857" style="179"/>
    <col min="829" max="829" width="0.857142857142857" style="179" customWidth="1"/>
    <col min="830" max="832" width="0.857142857142857" style="179"/>
    <col min="833" max="833" width="0.857142857142857" style="179" customWidth="1"/>
    <col min="834" max="843" width="0.857142857142857" style="179"/>
    <col min="844" max="845" width="0.857142857142857" style="179" customWidth="1"/>
    <col min="846" max="1084" width="0.857142857142857" style="179"/>
    <col min="1085" max="1085" width="0.857142857142857" style="179" customWidth="1"/>
    <col min="1086" max="1088" width="0.857142857142857" style="179"/>
    <col min="1089" max="1089" width="0.857142857142857" style="179" customWidth="1"/>
    <col min="1090" max="1099" width="0.857142857142857" style="179"/>
    <col min="1100" max="1101" width="0.857142857142857" style="179" customWidth="1"/>
    <col min="1102" max="1340" width="0.857142857142857" style="179"/>
    <col min="1341" max="1341" width="0.857142857142857" style="179" customWidth="1"/>
    <col min="1342" max="1344" width="0.857142857142857" style="179"/>
    <col min="1345" max="1345" width="0.857142857142857" style="179" customWidth="1"/>
    <col min="1346" max="1355" width="0.857142857142857" style="179"/>
    <col min="1356" max="1357" width="0.857142857142857" style="179" customWidth="1"/>
    <col min="1358" max="1596" width="0.857142857142857" style="179"/>
    <col min="1597" max="1597" width="0.857142857142857" style="179" customWidth="1"/>
    <col min="1598" max="1600" width="0.857142857142857" style="179"/>
    <col min="1601" max="1601" width="0.857142857142857" style="179" customWidth="1"/>
    <col min="1602" max="1611" width="0.857142857142857" style="179"/>
    <col min="1612" max="1613" width="0.857142857142857" style="179" customWidth="1"/>
    <col min="1614" max="1852" width="0.857142857142857" style="179"/>
    <col min="1853" max="1853" width="0.857142857142857" style="179" customWidth="1"/>
    <col min="1854" max="1856" width="0.857142857142857" style="179"/>
    <col min="1857" max="1857" width="0.857142857142857" style="179" customWidth="1"/>
    <col min="1858" max="1867" width="0.857142857142857" style="179"/>
    <col min="1868" max="1869" width="0.857142857142857" style="179" customWidth="1"/>
    <col min="1870" max="2108" width="0.857142857142857" style="179"/>
    <col min="2109" max="2109" width="0.857142857142857" style="179" customWidth="1"/>
    <col min="2110" max="2112" width="0.857142857142857" style="179"/>
    <col min="2113" max="2113" width="0.857142857142857" style="179" customWidth="1"/>
    <col min="2114" max="2123" width="0.857142857142857" style="179"/>
    <col min="2124" max="2125" width="0.857142857142857" style="179" customWidth="1"/>
    <col min="2126" max="2364" width="0.857142857142857" style="179"/>
    <col min="2365" max="2365" width="0.857142857142857" style="179" customWidth="1"/>
    <col min="2366" max="2368" width="0.857142857142857" style="179"/>
    <col min="2369" max="2369" width="0.857142857142857" style="179" customWidth="1"/>
    <col min="2370" max="2379" width="0.857142857142857" style="179"/>
    <col min="2380" max="2381" width="0.857142857142857" style="179" customWidth="1"/>
    <col min="2382" max="2620" width="0.857142857142857" style="179"/>
    <col min="2621" max="2621" width="0.857142857142857" style="179" customWidth="1"/>
    <col min="2622" max="2624" width="0.857142857142857" style="179"/>
    <col min="2625" max="2625" width="0.857142857142857" style="179" customWidth="1"/>
    <col min="2626" max="2635" width="0.857142857142857" style="179"/>
    <col min="2636" max="2637" width="0.857142857142857" style="179" customWidth="1"/>
    <col min="2638" max="2876" width="0.857142857142857" style="179"/>
    <col min="2877" max="2877" width="0.857142857142857" style="179" customWidth="1"/>
    <col min="2878" max="2880" width="0.857142857142857" style="179"/>
    <col min="2881" max="2881" width="0.857142857142857" style="179" customWidth="1"/>
    <col min="2882" max="2891" width="0.857142857142857" style="179"/>
    <col min="2892" max="2893" width="0.857142857142857" style="179" customWidth="1"/>
    <col min="2894" max="3132" width="0.857142857142857" style="179"/>
    <col min="3133" max="3133" width="0.857142857142857" style="179" customWidth="1"/>
    <col min="3134" max="3136" width="0.857142857142857" style="179"/>
    <col min="3137" max="3137" width="0.857142857142857" style="179" customWidth="1"/>
    <col min="3138" max="3147" width="0.857142857142857" style="179"/>
    <col min="3148" max="3149" width="0.857142857142857" style="179" customWidth="1"/>
    <col min="3150" max="3388" width="0.857142857142857" style="179"/>
    <col min="3389" max="3389" width="0.857142857142857" style="179" customWidth="1"/>
    <col min="3390" max="3392" width="0.857142857142857" style="179"/>
    <col min="3393" max="3393" width="0.857142857142857" style="179" customWidth="1"/>
    <col min="3394" max="3403" width="0.857142857142857" style="179"/>
    <col min="3404" max="3405" width="0.857142857142857" style="179" customWidth="1"/>
    <col min="3406" max="3644" width="0.857142857142857" style="179"/>
    <col min="3645" max="3645" width="0.857142857142857" style="179" customWidth="1"/>
    <col min="3646" max="3648" width="0.857142857142857" style="179"/>
    <col min="3649" max="3649" width="0.857142857142857" style="179" customWidth="1"/>
    <col min="3650" max="3659" width="0.857142857142857" style="179"/>
    <col min="3660" max="3661" width="0.857142857142857" style="179" customWidth="1"/>
    <col min="3662" max="3900" width="0.857142857142857" style="179"/>
    <col min="3901" max="3901" width="0.857142857142857" style="179" customWidth="1"/>
    <col min="3902" max="3904" width="0.857142857142857" style="179"/>
    <col min="3905" max="3905" width="0.857142857142857" style="179" customWidth="1"/>
    <col min="3906" max="3915" width="0.857142857142857" style="179"/>
    <col min="3916" max="3917" width="0.857142857142857" style="179" customWidth="1"/>
    <col min="3918" max="4156" width="0.857142857142857" style="179"/>
    <col min="4157" max="4157" width="0.857142857142857" style="179" customWidth="1"/>
    <col min="4158" max="4160" width="0.857142857142857" style="179"/>
    <col min="4161" max="4161" width="0.857142857142857" style="179" customWidth="1"/>
    <col min="4162" max="4171" width="0.857142857142857" style="179"/>
    <col min="4172" max="4173" width="0.857142857142857" style="179" customWidth="1"/>
    <col min="4174" max="4412" width="0.857142857142857" style="179"/>
    <col min="4413" max="4413" width="0.857142857142857" style="179" customWidth="1"/>
    <col min="4414" max="4416" width="0.857142857142857" style="179"/>
    <col min="4417" max="4417" width="0.857142857142857" style="179" customWidth="1"/>
    <col min="4418" max="4427" width="0.857142857142857" style="179"/>
    <col min="4428" max="4429" width="0.857142857142857" style="179" customWidth="1"/>
    <col min="4430" max="4668" width="0.857142857142857" style="179"/>
    <col min="4669" max="4669" width="0.857142857142857" style="179" customWidth="1"/>
    <col min="4670" max="4672" width="0.857142857142857" style="179"/>
    <col min="4673" max="4673" width="0.857142857142857" style="179" customWidth="1"/>
    <col min="4674" max="4683" width="0.857142857142857" style="179"/>
    <col min="4684" max="4685" width="0.857142857142857" style="179" customWidth="1"/>
    <col min="4686" max="4924" width="0.857142857142857" style="179"/>
    <col min="4925" max="4925" width="0.857142857142857" style="179" customWidth="1"/>
    <col min="4926" max="4928" width="0.857142857142857" style="179"/>
    <col min="4929" max="4929" width="0.857142857142857" style="179" customWidth="1"/>
    <col min="4930" max="4939" width="0.857142857142857" style="179"/>
    <col min="4940" max="4941" width="0.857142857142857" style="179" customWidth="1"/>
    <col min="4942" max="5180" width="0.857142857142857" style="179"/>
    <col min="5181" max="5181" width="0.857142857142857" style="179" customWidth="1"/>
    <col min="5182" max="5184" width="0.857142857142857" style="179"/>
    <col min="5185" max="5185" width="0.857142857142857" style="179" customWidth="1"/>
    <col min="5186" max="5195" width="0.857142857142857" style="179"/>
    <col min="5196" max="5197" width="0.857142857142857" style="179" customWidth="1"/>
    <col min="5198" max="5436" width="0.857142857142857" style="179"/>
    <col min="5437" max="5437" width="0.857142857142857" style="179" customWidth="1"/>
    <col min="5438" max="5440" width="0.857142857142857" style="179"/>
    <col min="5441" max="5441" width="0.857142857142857" style="179" customWidth="1"/>
    <col min="5442" max="5451" width="0.857142857142857" style="179"/>
    <col min="5452" max="5453" width="0.857142857142857" style="179" customWidth="1"/>
    <col min="5454" max="5692" width="0.857142857142857" style="179"/>
    <col min="5693" max="5693" width="0.857142857142857" style="179" customWidth="1"/>
    <col min="5694" max="5696" width="0.857142857142857" style="179"/>
    <col min="5697" max="5697" width="0.857142857142857" style="179" customWidth="1"/>
    <col min="5698" max="5707" width="0.857142857142857" style="179"/>
    <col min="5708" max="5709" width="0.857142857142857" style="179" customWidth="1"/>
    <col min="5710" max="5948" width="0.857142857142857" style="179"/>
    <col min="5949" max="5949" width="0.857142857142857" style="179" customWidth="1"/>
    <col min="5950" max="5952" width="0.857142857142857" style="179"/>
    <col min="5953" max="5953" width="0.857142857142857" style="179" customWidth="1"/>
    <col min="5954" max="5963" width="0.857142857142857" style="179"/>
    <col min="5964" max="5965" width="0.857142857142857" style="179" customWidth="1"/>
    <col min="5966" max="6204" width="0.857142857142857" style="179"/>
    <col min="6205" max="6205" width="0.857142857142857" style="179" customWidth="1"/>
    <col min="6206" max="6208" width="0.857142857142857" style="179"/>
    <col min="6209" max="6209" width="0.857142857142857" style="179" customWidth="1"/>
    <col min="6210" max="6219" width="0.857142857142857" style="179"/>
    <col min="6220" max="6221" width="0.857142857142857" style="179" customWidth="1"/>
    <col min="6222" max="6460" width="0.857142857142857" style="179"/>
    <col min="6461" max="6461" width="0.857142857142857" style="179" customWidth="1"/>
    <col min="6462" max="6464" width="0.857142857142857" style="179"/>
    <col min="6465" max="6465" width="0.857142857142857" style="179" customWidth="1"/>
    <col min="6466" max="6475" width="0.857142857142857" style="179"/>
    <col min="6476" max="6477" width="0.857142857142857" style="179" customWidth="1"/>
    <col min="6478" max="6716" width="0.857142857142857" style="179"/>
    <col min="6717" max="6717" width="0.857142857142857" style="179" customWidth="1"/>
    <col min="6718" max="6720" width="0.857142857142857" style="179"/>
    <col min="6721" max="6721" width="0.857142857142857" style="179" customWidth="1"/>
    <col min="6722" max="6731" width="0.857142857142857" style="179"/>
    <col min="6732" max="6733" width="0.857142857142857" style="179" customWidth="1"/>
    <col min="6734" max="6972" width="0.857142857142857" style="179"/>
    <col min="6973" max="6973" width="0.857142857142857" style="179" customWidth="1"/>
    <col min="6974" max="6976" width="0.857142857142857" style="179"/>
    <col min="6977" max="6977" width="0.857142857142857" style="179" customWidth="1"/>
    <col min="6978" max="6987" width="0.857142857142857" style="179"/>
    <col min="6988" max="6989" width="0.857142857142857" style="179" customWidth="1"/>
    <col min="6990" max="7228" width="0.857142857142857" style="179"/>
    <col min="7229" max="7229" width="0.857142857142857" style="179" customWidth="1"/>
    <col min="7230" max="7232" width="0.857142857142857" style="179"/>
    <col min="7233" max="7233" width="0.857142857142857" style="179" customWidth="1"/>
    <col min="7234" max="7243" width="0.857142857142857" style="179"/>
    <col min="7244" max="7245" width="0.857142857142857" style="179" customWidth="1"/>
    <col min="7246" max="7484" width="0.857142857142857" style="179"/>
    <col min="7485" max="7485" width="0.857142857142857" style="179" customWidth="1"/>
    <col min="7486" max="7488" width="0.857142857142857" style="179"/>
    <col min="7489" max="7489" width="0.857142857142857" style="179" customWidth="1"/>
    <col min="7490" max="7499" width="0.857142857142857" style="179"/>
    <col min="7500" max="7501" width="0.857142857142857" style="179" customWidth="1"/>
    <col min="7502" max="7740" width="0.857142857142857" style="179"/>
    <col min="7741" max="7741" width="0.857142857142857" style="179" customWidth="1"/>
    <col min="7742" max="7744" width="0.857142857142857" style="179"/>
    <col min="7745" max="7745" width="0.857142857142857" style="179" customWidth="1"/>
    <col min="7746" max="7755" width="0.857142857142857" style="179"/>
    <col min="7756" max="7757" width="0.857142857142857" style="179" customWidth="1"/>
    <col min="7758" max="7996" width="0.857142857142857" style="179"/>
    <col min="7997" max="7997" width="0.857142857142857" style="179" customWidth="1"/>
    <col min="7998" max="8000" width="0.857142857142857" style="179"/>
    <col min="8001" max="8001" width="0.857142857142857" style="179" customWidth="1"/>
    <col min="8002" max="8011" width="0.857142857142857" style="179"/>
    <col min="8012" max="8013" width="0.857142857142857" style="179" customWidth="1"/>
    <col min="8014" max="8252" width="0.857142857142857" style="179"/>
    <col min="8253" max="8253" width="0.857142857142857" style="179" customWidth="1"/>
    <col min="8254" max="8256" width="0.857142857142857" style="179"/>
    <col min="8257" max="8257" width="0.857142857142857" style="179" customWidth="1"/>
    <col min="8258" max="8267" width="0.857142857142857" style="179"/>
    <col min="8268" max="8269" width="0.857142857142857" style="179" customWidth="1"/>
    <col min="8270" max="8508" width="0.857142857142857" style="179"/>
    <col min="8509" max="8509" width="0.857142857142857" style="179" customWidth="1"/>
    <col min="8510" max="8512" width="0.857142857142857" style="179"/>
    <col min="8513" max="8513" width="0.857142857142857" style="179" customWidth="1"/>
    <col min="8514" max="8523" width="0.857142857142857" style="179"/>
    <col min="8524" max="8525" width="0.857142857142857" style="179" customWidth="1"/>
    <col min="8526" max="8764" width="0.857142857142857" style="179"/>
    <col min="8765" max="8765" width="0.857142857142857" style="179" customWidth="1"/>
    <col min="8766" max="8768" width="0.857142857142857" style="179"/>
    <col min="8769" max="8769" width="0.857142857142857" style="179" customWidth="1"/>
    <col min="8770" max="8779" width="0.857142857142857" style="179"/>
    <col min="8780" max="8781" width="0.857142857142857" style="179" customWidth="1"/>
    <col min="8782" max="9020" width="0.857142857142857" style="179"/>
    <col min="9021" max="9021" width="0.857142857142857" style="179" customWidth="1"/>
    <col min="9022" max="9024" width="0.857142857142857" style="179"/>
    <col min="9025" max="9025" width="0.857142857142857" style="179" customWidth="1"/>
    <col min="9026" max="9035" width="0.857142857142857" style="179"/>
    <col min="9036" max="9037" width="0.857142857142857" style="179" customWidth="1"/>
    <col min="9038" max="9276" width="0.857142857142857" style="179"/>
    <col min="9277" max="9277" width="0.857142857142857" style="179" customWidth="1"/>
    <col min="9278" max="9280" width="0.857142857142857" style="179"/>
    <col min="9281" max="9281" width="0.857142857142857" style="179" customWidth="1"/>
    <col min="9282" max="9291" width="0.857142857142857" style="179"/>
    <col min="9292" max="9293" width="0.857142857142857" style="179" customWidth="1"/>
    <col min="9294" max="9532" width="0.857142857142857" style="179"/>
    <col min="9533" max="9533" width="0.857142857142857" style="179" customWidth="1"/>
    <col min="9534" max="9536" width="0.857142857142857" style="179"/>
    <col min="9537" max="9537" width="0.857142857142857" style="179" customWidth="1"/>
    <col min="9538" max="9547" width="0.857142857142857" style="179"/>
    <col min="9548" max="9549" width="0.857142857142857" style="179" customWidth="1"/>
    <col min="9550" max="9788" width="0.857142857142857" style="179"/>
    <col min="9789" max="9789" width="0.857142857142857" style="179" customWidth="1"/>
    <col min="9790" max="9792" width="0.857142857142857" style="179"/>
    <col min="9793" max="9793" width="0.857142857142857" style="179" customWidth="1"/>
    <col min="9794" max="9803" width="0.857142857142857" style="179"/>
    <col min="9804" max="9805" width="0.857142857142857" style="179" customWidth="1"/>
    <col min="9806" max="10044" width="0.857142857142857" style="179"/>
    <col min="10045" max="10045" width="0.857142857142857" style="179" customWidth="1"/>
    <col min="10046" max="10048" width="0.857142857142857" style="179"/>
    <col min="10049" max="10049" width="0.857142857142857" style="179" customWidth="1"/>
    <col min="10050" max="10059" width="0.857142857142857" style="179"/>
    <col min="10060" max="10061" width="0.857142857142857" style="179" customWidth="1"/>
    <col min="10062" max="10300" width="0.857142857142857" style="179"/>
    <col min="10301" max="10301" width="0.857142857142857" style="179" customWidth="1"/>
    <col min="10302" max="10304" width="0.857142857142857" style="179"/>
    <col min="10305" max="10305" width="0.857142857142857" style="179" customWidth="1"/>
    <col min="10306" max="10315" width="0.857142857142857" style="179"/>
    <col min="10316" max="10317" width="0.857142857142857" style="179" customWidth="1"/>
    <col min="10318" max="10556" width="0.857142857142857" style="179"/>
    <col min="10557" max="10557" width="0.857142857142857" style="179" customWidth="1"/>
    <col min="10558" max="10560" width="0.857142857142857" style="179"/>
    <col min="10561" max="10561" width="0.857142857142857" style="179" customWidth="1"/>
    <col min="10562" max="10571" width="0.857142857142857" style="179"/>
    <col min="10572" max="10573" width="0.857142857142857" style="179" customWidth="1"/>
    <col min="10574" max="10812" width="0.857142857142857" style="179"/>
    <col min="10813" max="10813" width="0.857142857142857" style="179" customWidth="1"/>
    <col min="10814" max="10816" width="0.857142857142857" style="179"/>
    <col min="10817" max="10817" width="0.857142857142857" style="179" customWidth="1"/>
    <col min="10818" max="10827" width="0.857142857142857" style="179"/>
    <col min="10828" max="10829" width="0.857142857142857" style="179" customWidth="1"/>
    <col min="10830" max="11068" width="0.857142857142857" style="179"/>
    <col min="11069" max="11069" width="0.857142857142857" style="179" customWidth="1"/>
    <col min="11070" max="11072" width="0.857142857142857" style="179"/>
    <col min="11073" max="11073" width="0.857142857142857" style="179" customWidth="1"/>
    <col min="11074" max="11083" width="0.857142857142857" style="179"/>
    <col min="11084" max="11085" width="0.857142857142857" style="179" customWidth="1"/>
    <col min="11086" max="11324" width="0.857142857142857" style="179"/>
    <col min="11325" max="11325" width="0.857142857142857" style="179" customWidth="1"/>
    <col min="11326" max="11328" width="0.857142857142857" style="179"/>
    <col min="11329" max="11329" width="0.857142857142857" style="179" customWidth="1"/>
    <col min="11330" max="11339" width="0.857142857142857" style="179"/>
    <col min="11340" max="11341" width="0.857142857142857" style="179" customWidth="1"/>
    <col min="11342" max="11580" width="0.857142857142857" style="179"/>
    <col min="11581" max="11581" width="0.857142857142857" style="179" customWidth="1"/>
    <col min="11582" max="11584" width="0.857142857142857" style="179"/>
    <col min="11585" max="11585" width="0.857142857142857" style="179" customWidth="1"/>
    <col min="11586" max="11595" width="0.857142857142857" style="179"/>
    <col min="11596" max="11597" width="0.857142857142857" style="179" customWidth="1"/>
    <col min="11598" max="11836" width="0.857142857142857" style="179"/>
    <col min="11837" max="11837" width="0.857142857142857" style="179" customWidth="1"/>
    <col min="11838" max="11840" width="0.857142857142857" style="179"/>
    <col min="11841" max="11841" width="0.857142857142857" style="179" customWidth="1"/>
    <col min="11842" max="11851" width="0.857142857142857" style="179"/>
    <col min="11852" max="11853" width="0.857142857142857" style="179" customWidth="1"/>
    <col min="11854" max="12092" width="0.857142857142857" style="179"/>
    <col min="12093" max="12093" width="0.857142857142857" style="179" customWidth="1"/>
    <col min="12094" max="12096" width="0.857142857142857" style="179"/>
    <col min="12097" max="12097" width="0.857142857142857" style="179" customWidth="1"/>
    <col min="12098" max="12107" width="0.857142857142857" style="179"/>
    <col min="12108" max="12109" width="0.857142857142857" style="179" customWidth="1"/>
    <col min="12110" max="12348" width="0.857142857142857" style="179"/>
    <col min="12349" max="12349" width="0.857142857142857" style="179" customWidth="1"/>
    <col min="12350" max="12352" width="0.857142857142857" style="179"/>
    <col min="12353" max="12353" width="0.857142857142857" style="179" customWidth="1"/>
    <col min="12354" max="12363" width="0.857142857142857" style="179"/>
    <col min="12364" max="12365" width="0.857142857142857" style="179" customWidth="1"/>
    <col min="12366" max="12604" width="0.857142857142857" style="179"/>
    <col min="12605" max="12605" width="0.857142857142857" style="179" customWidth="1"/>
    <col min="12606" max="12608" width="0.857142857142857" style="179"/>
    <col min="12609" max="12609" width="0.857142857142857" style="179" customWidth="1"/>
    <col min="12610" max="12619" width="0.857142857142857" style="179"/>
    <col min="12620" max="12621" width="0.857142857142857" style="179" customWidth="1"/>
    <col min="12622" max="12860" width="0.857142857142857" style="179"/>
    <col min="12861" max="12861" width="0.857142857142857" style="179" customWidth="1"/>
    <col min="12862" max="12864" width="0.857142857142857" style="179"/>
    <col min="12865" max="12865" width="0.857142857142857" style="179" customWidth="1"/>
    <col min="12866" max="12875" width="0.857142857142857" style="179"/>
    <col min="12876" max="12877" width="0.857142857142857" style="179" customWidth="1"/>
    <col min="12878" max="13116" width="0.857142857142857" style="179"/>
    <col min="13117" max="13117" width="0.857142857142857" style="179" customWidth="1"/>
    <col min="13118" max="13120" width="0.857142857142857" style="179"/>
    <col min="13121" max="13121" width="0.857142857142857" style="179" customWidth="1"/>
    <col min="13122" max="13131" width="0.857142857142857" style="179"/>
    <col min="13132" max="13133" width="0.857142857142857" style="179" customWidth="1"/>
    <col min="13134" max="13372" width="0.857142857142857" style="179"/>
    <col min="13373" max="13373" width="0.857142857142857" style="179" customWidth="1"/>
    <col min="13374" max="13376" width="0.857142857142857" style="179"/>
    <col min="13377" max="13377" width="0.857142857142857" style="179" customWidth="1"/>
    <col min="13378" max="13387" width="0.857142857142857" style="179"/>
    <col min="13388" max="13389" width="0.857142857142857" style="179" customWidth="1"/>
    <col min="13390" max="13628" width="0.857142857142857" style="179"/>
    <col min="13629" max="13629" width="0.857142857142857" style="179" customWidth="1"/>
    <col min="13630" max="13632" width="0.857142857142857" style="179"/>
    <col min="13633" max="13633" width="0.857142857142857" style="179" customWidth="1"/>
    <col min="13634" max="13643" width="0.857142857142857" style="179"/>
    <col min="13644" max="13645" width="0.857142857142857" style="179" customWidth="1"/>
    <col min="13646" max="13884" width="0.857142857142857" style="179"/>
    <col min="13885" max="13885" width="0.857142857142857" style="179" customWidth="1"/>
    <col min="13886" max="13888" width="0.857142857142857" style="179"/>
    <col min="13889" max="13889" width="0.857142857142857" style="179" customWidth="1"/>
    <col min="13890" max="13899" width="0.857142857142857" style="179"/>
    <col min="13900" max="13901" width="0.857142857142857" style="179" customWidth="1"/>
    <col min="13902" max="14140" width="0.857142857142857" style="179"/>
    <col min="14141" max="14141" width="0.857142857142857" style="179" customWidth="1"/>
    <col min="14142" max="14144" width="0.857142857142857" style="179"/>
    <col min="14145" max="14145" width="0.857142857142857" style="179" customWidth="1"/>
    <col min="14146" max="14155" width="0.857142857142857" style="179"/>
    <col min="14156" max="14157" width="0.857142857142857" style="179" customWidth="1"/>
    <col min="14158" max="14396" width="0.857142857142857" style="179"/>
    <col min="14397" max="14397" width="0.857142857142857" style="179" customWidth="1"/>
    <col min="14398" max="14400" width="0.857142857142857" style="179"/>
    <col min="14401" max="14401" width="0.857142857142857" style="179" customWidth="1"/>
    <col min="14402" max="14411" width="0.857142857142857" style="179"/>
    <col min="14412" max="14413" width="0.857142857142857" style="179" customWidth="1"/>
    <col min="14414" max="14652" width="0.857142857142857" style="179"/>
    <col min="14653" max="14653" width="0.857142857142857" style="179" customWidth="1"/>
    <col min="14654" max="14656" width="0.857142857142857" style="179"/>
    <col min="14657" max="14657" width="0.857142857142857" style="179" customWidth="1"/>
    <col min="14658" max="14667" width="0.857142857142857" style="179"/>
    <col min="14668" max="14669" width="0.857142857142857" style="179" customWidth="1"/>
    <col min="14670" max="14908" width="0.857142857142857" style="179"/>
    <col min="14909" max="14909" width="0.857142857142857" style="179" customWidth="1"/>
    <col min="14910" max="14912" width="0.857142857142857" style="179"/>
    <col min="14913" max="14913" width="0.857142857142857" style="179" customWidth="1"/>
    <col min="14914" max="14923" width="0.857142857142857" style="179"/>
    <col min="14924" max="14925" width="0.857142857142857" style="179" customWidth="1"/>
    <col min="14926" max="15164" width="0.857142857142857" style="179"/>
    <col min="15165" max="15165" width="0.857142857142857" style="179" customWidth="1"/>
    <col min="15166" max="15168" width="0.857142857142857" style="179"/>
    <col min="15169" max="15169" width="0.857142857142857" style="179" customWidth="1"/>
    <col min="15170" max="15179" width="0.857142857142857" style="179"/>
    <col min="15180" max="15181" width="0.857142857142857" style="179" customWidth="1"/>
    <col min="15182" max="15420" width="0.857142857142857" style="179"/>
    <col min="15421" max="15421" width="0.857142857142857" style="179" customWidth="1"/>
    <col min="15422" max="15424" width="0.857142857142857" style="179"/>
    <col min="15425" max="15425" width="0.857142857142857" style="179" customWidth="1"/>
    <col min="15426" max="15435" width="0.857142857142857" style="179"/>
    <col min="15436" max="15437" width="0.857142857142857" style="179" customWidth="1"/>
    <col min="15438" max="15676" width="0.857142857142857" style="179"/>
    <col min="15677" max="15677" width="0.857142857142857" style="179" customWidth="1"/>
    <col min="15678" max="15680" width="0.857142857142857" style="179"/>
    <col min="15681" max="15681" width="0.857142857142857" style="179" customWidth="1"/>
    <col min="15682" max="15691" width="0.857142857142857" style="179"/>
    <col min="15692" max="15693" width="0.857142857142857" style="179" customWidth="1"/>
    <col min="15694" max="15932" width="0.857142857142857" style="179"/>
    <col min="15933" max="15933" width="0.857142857142857" style="179" customWidth="1"/>
    <col min="15934" max="15936" width="0.857142857142857" style="179"/>
    <col min="15937" max="15937" width="0.857142857142857" style="179" customWidth="1"/>
    <col min="15938" max="15947" width="0.857142857142857" style="179"/>
    <col min="15948" max="15949" width="0.857142857142857" style="179" customWidth="1"/>
    <col min="15950" max="16188" width="0.857142857142857" style="179"/>
    <col min="16189" max="16189" width="0.857142857142857" style="179" customWidth="1"/>
    <col min="16190" max="16192" width="0.857142857142857" style="179"/>
    <col min="16193" max="16193" width="0.857142857142857" style="179" customWidth="1"/>
    <col min="16194" max="16203" width="0.857142857142857" style="179"/>
    <col min="16204" max="16205" width="0.857142857142857" style="179" customWidth="1"/>
    <col min="16206" max="16384" width="0.857142857142857" style="179"/>
  </cols>
  <sheetData>
    <row r="1" s="175" customFormat="1" ht="15" customHeight="1" spans="2:160">
      <c r="B1" s="180" t="s">
        <v>207</v>
      </c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80"/>
      <c r="AA1" s="180"/>
      <c r="AB1" s="180"/>
      <c r="AC1" s="180"/>
      <c r="AD1" s="180"/>
      <c r="AE1" s="180"/>
      <c r="AF1" s="180"/>
      <c r="AG1" s="180"/>
      <c r="AH1" s="180"/>
      <c r="AI1" s="180"/>
      <c r="AJ1" s="180"/>
      <c r="AK1" s="180"/>
      <c r="AL1" s="180"/>
      <c r="AM1" s="180"/>
      <c r="AN1" s="180"/>
      <c r="AO1" s="180"/>
      <c r="AP1" s="180"/>
      <c r="AQ1" s="180"/>
      <c r="AR1" s="180"/>
      <c r="AS1" s="180"/>
      <c r="AT1" s="180"/>
      <c r="AU1" s="180"/>
      <c r="AV1" s="180"/>
      <c r="AW1" s="180"/>
      <c r="AX1" s="180"/>
      <c r="AY1" s="180"/>
      <c r="AZ1" s="180"/>
      <c r="BA1" s="180"/>
      <c r="BB1" s="180"/>
      <c r="BC1" s="180"/>
      <c r="BD1" s="180"/>
      <c r="BE1" s="180"/>
      <c r="BF1" s="180"/>
      <c r="BG1" s="180"/>
      <c r="BH1" s="180"/>
      <c r="BI1" s="180"/>
      <c r="BJ1" s="180"/>
      <c r="BK1" s="180"/>
      <c r="BL1" s="180"/>
      <c r="BM1" s="180"/>
      <c r="BN1" s="180"/>
      <c r="BO1" s="180"/>
      <c r="BP1" s="180"/>
      <c r="BQ1" s="180"/>
      <c r="BR1" s="180"/>
      <c r="BS1" s="180"/>
      <c r="BT1" s="180"/>
      <c r="BU1" s="180"/>
      <c r="BV1" s="180"/>
      <c r="BW1" s="180"/>
      <c r="BX1" s="180"/>
      <c r="BY1" s="180"/>
      <c r="BZ1" s="180"/>
      <c r="CA1" s="180"/>
      <c r="CB1" s="180"/>
      <c r="CC1" s="180"/>
      <c r="CD1" s="180"/>
      <c r="CE1" s="180"/>
      <c r="CF1" s="180"/>
      <c r="CG1" s="180"/>
      <c r="CH1" s="180"/>
      <c r="CI1" s="180"/>
      <c r="CJ1" s="180"/>
      <c r="CK1" s="180"/>
      <c r="CL1" s="180"/>
      <c r="CM1" s="180"/>
      <c r="CN1" s="180"/>
      <c r="CO1" s="180"/>
      <c r="CP1" s="180"/>
      <c r="CQ1" s="180"/>
      <c r="CR1" s="180"/>
      <c r="CS1" s="180"/>
      <c r="CT1" s="180"/>
      <c r="CU1" s="180"/>
      <c r="CV1" s="180"/>
      <c r="CW1" s="180"/>
      <c r="CX1" s="180"/>
      <c r="CY1" s="180"/>
      <c r="CZ1" s="180"/>
      <c r="DA1" s="180"/>
      <c r="DB1" s="180"/>
      <c r="DC1" s="180"/>
      <c r="DD1" s="180"/>
      <c r="DE1" s="180"/>
      <c r="DF1" s="180"/>
      <c r="DG1" s="180"/>
      <c r="DH1" s="180"/>
      <c r="DI1" s="180"/>
      <c r="DJ1" s="180"/>
      <c r="DK1" s="180"/>
      <c r="DL1" s="180"/>
      <c r="DM1" s="180"/>
      <c r="DN1" s="180"/>
      <c r="DO1" s="180"/>
      <c r="DP1" s="180"/>
      <c r="DQ1" s="180"/>
      <c r="DR1" s="180"/>
      <c r="DS1" s="180"/>
      <c r="DT1" s="180"/>
      <c r="DU1" s="180"/>
      <c r="DV1" s="180"/>
      <c r="DW1" s="180"/>
      <c r="DX1" s="180"/>
      <c r="DY1" s="180"/>
      <c r="DZ1" s="180"/>
      <c r="EA1" s="180"/>
      <c r="EB1" s="180"/>
      <c r="EC1" s="180"/>
      <c r="ED1" s="180"/>
      <c r="EE1" s="180"/>
      <c r="EF1" s="180"/>
      <c r="EG1" s="180"/>
      <c r="EH1" s="180"/>
      <c r="EI1" s="180"/>
      <c r="EJ1" s="180"/>
      <c r="EK1" s="180"/>
      <c r="EL1" s="180"/>
      <c r="EM1" s="180"/>
      <c r="EN1" s="180"/>
      <c r="EO1" s="180"/>
      <c r="EP1" s="180"/>
      <c r="EQ1" s="180"/>
      <c r="ER1" s="180"/>
      <c r="ES1" s="180"/>
      <c r="ET1" s="180"/>
      <c r="EU1" s="180"/>
      <c r="EV1" s="180"/>
      <c r="EW1" s="180"/>
      <c r="EX1" s="180"/>
      <c r="EY1" s="180"/>
      <c r="EZ1" s="180"/>
      <c r="FA1" s="180"/>
      <c r="FB1" s="180"/>
      <c r="FC1" s="180"/>
      <c r="FD1" s="180"/>
    </row>
    <row r="3" customHeight="1" spans="1:161">
      <c r="A3" s="181" t="s">
        <v>208</v>
      </c>
      <c r="B3" s="181"/>
      <c r="C3" s="181"/>
      <c r="D3" s="181"/>
      <c r="E3" s="181"/>
      <c r="F3" s="181"/>
      <c r="G3" s="181"/>
      <c r="H3" s="182"/>
      <c r="I3" s="217" t="s">
        <v>24</v>
      </c>
      <c r="J3" s="217"/>
      <c r="K3" s="217"/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17"/>
      <c r="W3" s="217"/>
      <c r="X3" s="217"/>
      <c r="Y3" s="217"/>
      <c r="Z3" s="217"/>
      <c r="AA3" s="217"/>
      <c r="AB3" s="217"/>
      <c r="AC3" s="217"/>
      <c r="AD3" s="217"/>
      <c r="AE3" s="217"/>
      <c r="AF3" s="217"/>
      <c r="AG3" s="217"/>
      <c r="AH3" s="217"/>
      <c r="AI3" s="217"/>
      <c r="AJ3" s="217"/>
      <c r="AK3" s="217"/>
      <c r="AL3" s="217"/>
      <c r="AM3" s="217"/>
      <c r="AN3" s="217"/>
      <c r="AO3" s="217"/>
      <c r="AP3" s="217"/>
      <c r="AQ3" s="217"/>
      <c r="AR3" s="217"/>
      <c r="AS3" s="217"/>
      <c r="AT3" s="217"/>
      <c r="AU3" s="217"/>
      <c r="AV3" s="217"/>
      <c r="AW3" s="217"/>
      <c r="AX3" s="217"/>
      <c r="AY3" s="217"/>
      <c r="AZ3" s="217"/>
      <c r="BA3" s="217"/>
      <c r="BB3" s="217"/>
      <c r="BC3" s="217"/>
      <c r="BD3" s="217"/>
      <c r="BE3" s="217"/>
      <c r="BF3" s="217"/>
      <c r="BG3" s="217"/>
      <c r="BH3" s="217"/>
      <c r="BI3" s="217"/>
      <c r="BJ3" s="217"/>
      <c r="BK3" s="217"/>
      <c r="BL3" s="217"/>
      <c r="BM3" s="217"/>
      <c r="BN3" s="217"/>
      <c r="BO3" s="217"/>
      <c r="BP3" s="217"/>
      <c r="BQ3" s="217"/>
      <c r="BR3" s="217"/>
      <c r="BS3" s="217"/>
      <c r="BT3" s="217"/>
      <c r="BU3" s="217"/>
      <c r="BV3" s="217"/>
      <c r="BW3" s="217"/>
      <c r="BX3" s="217"/>
      <c r="BY3" s="217"/>
      <c r="BZ3" s="217"/>
      <c r="CA3" s="217"/>
      <c r="CB3" s="217"/>
      <c r="CC3" s="217"/>
      <c r="CD3" s="217"/>
      <c r="CE3" s="217"/>
      <c r="CF3" s="217"/>
      <c r="CG3" s="217"/>
      <c r="CH3" s="217"/>
      <c r="CI3" s="217"/>
      <c r="CJ3" s="217"/>
      <c r="CK3" s="217"/>
      <c r="CL3" s="217"/>
      <c r="CM3" s="237"/>
      <c r="CN3" s="238" t="s">
        <v>209</v>
      </c>
      <c r="CO3" s="181"/>
      <c r="CP3" s="181"/>
      <c r="CQ3" s="181"/>
      <c r="CR3" s="181"/>
      <c r="CS3" s="181"/>
      <c r="CT3" s="181"/>
      <c r="CU3" s="182"/>
      <c r="CV3" s="238" t="s">
        <v>210</v>
      </c>
      <c r="CW3" s="181"/>
      <c r="CX3" s="181"/>
      <c r="CY3" s="181"/>
      <c r="CZ3" s="181"/>
      <c r="DA3" s="181"/>
      <c r="DB3" s="181"/>
      <c r="DC3" s="181"/>
      <c r="DD3" s="181"/>
      <c r="DE3" s="182"/>
      <c r="DF3" s="278" t="s">
        <v>28</v>
      </c>
      <c r="DG3" s="279"/>
      <c r="DH3" s="279"/>
      <c r="DI3" s="279"/>
      <c r="DJ3" s="279"/>
      <c r="DK3" s="279"/>
      <c r="DL3" s="279"/>
      <c r="DM3" s="279"/>
      <c r="DN3" s="279"/>
      <c r="DO3" s="279"/>
      <c r="DP3" s="279"/>
      <c r="DQ3" s="279"/>
      <c r="DR3" s="279"/>
      <c r="DS3" s="279"/>
      <c r="DT3" s="279"/>
      <c r="DU3" s="279"/>
      <c r="DV3" s="279"/>
      <c r="DW3" s="279"/>
      <c r="DX3" s="279"/>
      <c r="DY3" s="279"/>
      <c r="DZ3" s="279"/>
      <c r="EA3" s="279"/>
      <c r="EB3" s="279"/>
      <c r="EC3" s="279"/>
      <c r="ED3" s="279"/>
      <c r="EE3" s="279"/>
      <c r="EF3" s="279"/>
      <c r="EG3" s="279"/>
      <c r="EH3" s="279"/>
      <c r="EI3" s="279"/>
      <c r="EJ3" s="279"/>
      <c r="EK3" s="279"/>
      <c r="EL3" s="279"/>
      <c r="EM3" s="279"/>
      <c r="EN3" s="279"/>
      <c r="EO3" s="279"/>
      <c r="EP3" s="279"/>
      <c r="EQ3" s="279"/>
      <c r="ER3" s="279"/>
      <c r="ES3" s="279"/>
      <c r="ET3" s="279"/>
      <c r="EU3" s="279"/>
      <c r="EV3" s="279"/>
      <c r="EW3" s="279"/>
      <c r="EX3" s="279"/>
      <c r="EY3" s="279"/>
      <c r="EZ3" s="279"/>
      <c r="FA3" s="279"/>
      <c r="FB3" s="279"/>
      <c r="FC3" s="279"/>
      <c r="FD3" s="279"/>
      <c r="FE3" s="279"/>
    </row>
    <row r="4" customHeight="1" spans="1:161">
      <c r="A4" s="183"/>
      <c r="B4" s="183"/>
      <c r="C4" s="183"/>
      <c r="D4" s="183"/>
      <c r="E4" s="183"/>
      <c r="F4" s="183"/>
      <c r="G4" s="183"/>
      <c r="H4" s="184"/>
      <c r="I4" s="218"/>
      <c r="J4" s="218"/>
      <c r="K4" s="218"/>
      <c r="L4" s="218"/>
      <c r="M4" s="218"/>
      <c r="N4" s="218"/>
      <c r="O4" s="218"/>
      <c r="P4" s="218"/>
      <c r="Q4" s="218"/>
      <c r="R4" s="218"/>
      <c r="S4" s="218"/>
      <c r="T4" s="218"/>
      <c r="U4" s="218"/>
      <c r="V4" s="218"/>
      <c r="W4" s="218"/>
      <c r="X4" s="218"/>
      <c r="Y4" s="218"/>
      <c r="Z4" s="218"/>
      <c r="AA4" s="218"/>
      <c r="AB4" s="218"/>
      <c r="AC4" s="218"/>
      <c r="AD4" s="218"/>
      <c r="AE4" s="218"/>
      <c r="AF4" s="218"/>
      <c r="AG4" s="218"/>
      <c r="AH4" s="218"/>
      <c r="AI4" s="218"/>
      <c r="AJ4" s="218"/>
      <c r="AK4" s="218"/>
      <c r="AL4" s="218"/>
      <c r="AM4" s="218"/>
      <c r="AN4" s="218"/>
      <c r="AO4" s="218"/>
      <c r="AP4" s="218"/>
      <c r="AQ4" s="218"/>
      <c r="AR4" s="218"/>
      <c r="AS4" s="218"/>
      <c r="AT4" s="218"/>
      <c r="AU4" s="218"/>
      <c r="AV4" s="218"/>
      <c r="AW4" s="218"/>
      <c r="AX4" s="218"/>
      <c r="AY4" s="218"/>
      <c r="AZ4" s="218"/>
      <c r="BA4" s="218"/>
      <c r="BB4" s="218"/>
      <c r="BC4" s="218"/>
      <c r="BD4" s="218"/>
      <c r="BE4" s="218"/>
      <c r="BF4" s="218"/>
      <c r="BG4" s="218"/>
      <c r="BH4" s="218"/>
      <c r="BI4" s="218"/>
      <c r="BJ4" s="218"/>
      <c r="BK4" s="218"/>
      <c r="BL4" s="218"/>
      <c r="BM4" s="218"/>
      <c r="BN4" s="218"/>
      <c r="BO4" s="218"/>
      <c r="BP4" s="218"/>
      <c r="BQ4" s="218"/>
      <c r="BR4" s="218"/>
      <c r="BS4" s="218"/>
      <c r="BT4" s="218"/>
      <c r="BU4" s="218"/>
      <c r="BV4" s="218"/>
      <c r="BW4" s="218"/>
      <c r="BX4" s="218"/>
      <c r="BY4" s="218"/>
      <c r="BZ4" s="218"/>
      <c r="CA4" s="218"/>
      <c r="CB4" s="218"/>
      <c r="CC4" s="218"/>
      <c r="CD4" s="218"/>
      <c r="CE4" s="218"/>
      <c r="CF4" s="218"/>
      <c r="CG4" s="218"/>
      <c r="CH4" s="218"/>
      <c r="CI4" s="218"/>
      <c r="CJ4" s="218"/>
      <c r="CK4" s="218"/>
      <c r="CL4" s="218"/>
      <c r="CM4" s="239"/>
      <c r="CN4" s="240"/>
      <c r="CO4" s="183"/>
      <c r="CP4" s="183"/>
      <c r="CQ4" s="183"/>
      <c r="CR4" s="183"/>
      <c r="CS4" s="183"/>
      <c r="CT4" s="183"/>
      <c r="CU4" s="184"/>
      <c r="CV4" s="240"/>
      <c r="CW4" s="183"/>
      <c r="CX4" s="183"/>
      <c r="CY4" s="183"/>
      <c r="CZ4" s="183"/>
      <c r="DA4" s="183"/>
      <c r="DB4" s="183"/>
      <c r="DC4" s="183"/>
      <c r="DD4" s="183"/>
      <c r="DE4" s="184"/>
      <c r="DF4" s="280" t="s">
        <v>211</v>
      </c>
      <c r="DG4" s="281"/>
      <c r="DH4" s="281"/>
      <c r="DI4" s="281"/>
      <c r="DJ4" s="281"/>
      <c r="DK4" s="281"/>
      <c r="DL4" s="303" t="s">
        <v>212</v>
      </c>
      <c r="DM4" s="303"/>
      <c r="DN4" s="303"/>
      <c r="DO4" s="304" t="s">
        <v>213</v>
      </c>
      <c r="DP4" s="304"/>
      <c r="DQ4" s="304"/>
      <c r="DR4" s="305"/>
      <c r="DS4" s="280" t="s">
        <v>211</v>
      </c>
      <c r="DT4" s="281"/>
      <c r="DU4" s="281"/>
      <c r="DV4" s="281"/>
      <c r="DW4" s="281"/>
      <c r="DX4" s="281"/>
      <c r="DY4" s="303" t="s">
        <v>214</v>
      </c>
      <c r="DZ4" s="303"/>
      <c r="EA4" s="303"/>
      <c r="EB4" s="304" t="s">
        <v>213</v>
      </c>
      <c r="EC4" s="304"/>
      <c r="ED4" s="304"/>
      <c r="EE4" s="305"/>
      <c r="EF4" s="280" t="s">
        <v>211</v>
      </c>
      <c r="EG4" s="281"/>
      <c r="EH4" s="281"/>
      <c r="EI4" s="281"/>
      <c r="EJ4" s="281"/>
      <c r="EK4" s="281"/>
      <c r="EL4" s="303" t="s">
        <v>215</v>
      </c>
      <c r="EM4" s="303"/>
      <c r="EN4" s="303"/>
      <c r="EO4" s="304" t="s">
        <v>213</v>
      </c>
      <c r="EP4" s="304"/>
      <c r="EQ4" s="304"/>
      <c r="ER4" s="305"/>
      <c r="ES4" s="238" t="s">
        <v>32</v>
      </c>
      <c r="ET4" s="181"/>
      <c r="EU4" s="181"/>
      <c r="EV4" s="181"/>
      <c r="EW4" s="181"/>
      <c r="EX4" s="181"/>
      <c r="EY4" s="181"/>
      <c r="EZ4" s="181"/>
      <c r="FA4" s="181"/>
      <c r="FB4" s="181"/>
      <c r="FC4" s="181"/>
      <c r="FD4" s="181"/>
      <c r="FE4" s="181"/>
    </row>
    <row r="5" ht="39" customHeight="1" spans="1:161">
      <c r="A5" s="185"/>
      <c r="B5" s="185"/>
      <c r="C5" s="185"/>
      <c r="D5" s="185"/>
      <c r="E5" s="185"/>
      <c r="F5" s="185"/>
      <c r="G5" s="185"/>
      <c r="H5" s="186"/>
      <c r="I5" s="219"/>
      <c r="J5" s="219"/>
      <c r="K5" s="219"/>
      <c r="L5" s="219"/>
      <c r="M5" s="219"/>
      <c r="N5" s="219"/>
      <c r="O5" s="219"/>
      <c r="P5" s="219"/>
      <c r="Q5" s="219"/>
      <c r="R5" s="219"/>
      <c r="S5" s="219"/>
      <c r="T5" s="219"/>
      <c r="U5" s="219"/>
      <c r="V5" s="219"/>
      <c r="W5" s="219"/>
      <c r="X5" s="219"/>
      <c r="Y5" s="219"/>
      <c r="Z5" s="219"/>
      <c r="AA5" s="219"/>
      <c r="AB5" s="219"/>
      <c r="AC5" s="219"/>
      <c r="AD5" s="219"/>
      <c r="AE5" s="219"/>
      <c r="AF5" s="219"/>
      <c r="AG5" s="219"/>
      <c r="AH5" s="219"/>
      <c r="AI5" s="219"/>
      <c r="AJ5" s="219"/>
      <c r="AK5" s="219"/>
      <c r="AL5" s="219"/>
      <c r="AM5" s="219"/>
      <c r="AN5" s="219"/>
      <c r="AO5" s="219"/>
      <c r="AP5" s="219"/>
      <c r="AQ5" s="219"/>
      <c r="AR5" s="219"/>
      <c r="AS5" s="219"/>
      <c r="AT5" s="219"/>
      <c r="AU5" s="219"/>
      <c r="AV5" s="219"/>
      <c r="AW5" s="219"/>
      <c r="AX5" s="219"/>
      <c r="AY5" s="219"/>
      <c r="AZ5" s="219"/>
      <c r="BA5" s="219"/>
      <c r="BB5" s="219"/>
      <c r="BC5" s="219"/>
      <c r="BD5" s="219"/>
      <c r="BE5" s="219"/>
      <c r="BF5" s="219"/>
      <c r="BG5" s="219"/>
      <c r="BH5" s="219"/>
      <c r="BI5" s="219"/>
      <c r="BJ5" s="219"/>
      <c r="BK5" s="219"/>
      <c r="BL5" s="219"/>
      <c r="BM5" s="219"/>
      <c r="BN5" s="219"/>
      <c r="BO5" s="219"/>
      <c r="BP5" s="219"/>
      <c r="BQ5" s="219"/>
      <c r="BR5" s="219"/>
      <c r="BS5" s="219"/>
      <c r="BT5" s="219"/>
      <c r="BU5" s="219"/>
      <c r="BV5" s="219"/>
      <c r="BW5" s="219"/>
      <c r="BX5" s="219"/>
      <c r="BY5" s="219"/>
      <c r="BZ5" s="219"/>
      <c r="CA5" s="219"/>
      <c r="CB5" s="219"/>
      <c r="CC5" s="219"/>
      <c r="CD5" s="219"/>
      <c r="CE5" s="219"/>
      <c r="CF5" s="219"/>
      <c r="CG5" s="219"/>
      <c r="CH5" s="219"/>
      <c r="CI5" s="219"/>
      <c r="CJ5" s="219"/>
      <c r="CK5" s="219"/>
      <c r="CL5" s="219"/>
      <c r="CM5" s="241"/>
      <c r="CN5" s="242"/>
      <c r="CO5" s="185"/>
      <c r="CP5" s="185"/>
      <c r="CQ5" s="185"/>
      <c r="CR5" s="185"/>
      <c r="CS5" s="185"/>
      <c r="CT5" s="185"/>
      <c r="CU5" s="186"/>
      <c r="CV5" s="242"/>
      <c r="CW5" s="185"/>
      <c r="CX5" s="185"/>
      <c r="CY5" s="185"/>
      <c r="CZ5" s="185"/>
      <c r="DA5" s="185"/>
      <c r="DB5" s="185"/>
      <c r="DC5" s="185"/>
      <c r="DD5" s="185"/>
      <c r="DE5" s="186"/>
      <c r="DF5" s="282" t="s">
        <v>216</v>
      </c>
      <c r="DG5" s="283"/>
      <c r="DH5" s="283"/>
      <c r="DI5" s="283"/>
      <c r="DJ5" s="283"/>
      <c r="DK5" s="283"/>
      <c r="DL5" s="283"/>
      <c r="DM5" s="283"/>
      <c r="DN5" s="283"/>
      <c r="DO5" s="283"/>
      <c r="DP5" s="283"/>
      <c r="DQ5" s="283"/>
      <c r="DR5" s="306"/>
      <c r="DS5" s="282" t="s">
        <v>217</v>
      </c>
      <c r="DT5" s="283"/>
      <c r="DU5" s="283"/>
      <c r="DV5" s="283"/>
      <c r="DW5" s="283"/>
      <c r="DX5" s="283"/>
      <c r="DY5" s="283"/>
      <c r="DZ5" s="283"/>
      <c r="EA5" s="283"/>
      <c r="EB5" s="283"/>
      <c r="EC5" s="283"/>
      <c r="ED5" s="283"/>
      <c r="EE5" s="306"/>
      <c r="EF5" s="282" t="s">
        <v>218</v>
      </c>
      <c r="EG5" s="283"/>
      <c r="EH5" s="283"/>
      <c r="EI5" s="283"/>
      <c r="EJ5" s="283"/>
      <c r="EK5" s="283"/>
      <c r="EL5" s="283"/>
      <c r="EM5" s="283"/>
      <c r="EN5" s="283"/>
      <c r="EO5" s="283"/>
      <c r="EP5" s="283"/>
      <c r="EQ5" s="283"/>
      <c r="ER5" s="306"/>
      <c r="ES5" s="242"/>
      <c r="ET5" s="185"/>
      <c r="EU5" s="185"/>
      <c r="EV5" s="185"/>
      <c r="EW5" s="185"/>
      <c r="EX5" s="185"/>
      <c r="EY5" s="185"/>
      <c r="EZ5" s="185"/>
      <c r="FA5" s="185"/>
      <c r="FB5" s="185"/>
      <c r="FC5" s="185"/>
      <c r="FD5" s="185"/>
      <c r="FE5" s="185"/>
    </row>
    <row r="6" ht="12" spans="1:161">
      <c r="A6" s="187" t="s">
        <v>36</v>
      </c>
      <c r="B6" s="187"/>
      <c r="C6" s="187"/>
      <c r="D6" s="187"/>
      <c r="E6" s="187"/>
      <c r="F6" s="187"/>
      <c r="G6" s="187"/>
      <c r="H6" s="188"/>
      <c r="I6" s="187" t="s">
        <v>37</v>
      </c>
      <c r="J6" s="187"/>
      <c r="K6" s="187"/>
      <c r="L6" s="187"/>
      <c r="M6" s="187"/>
      <c r="N6" s="187"/>
      <c r="O6" s="187"/>
      <c r="P6" s="187"/>
      <c r="Q6" s="187"/>
      <c r="R6" s="187"/>
      <c r="S6" s="187"/>
      <c r="T6" s="187"/>
      <c r="U6" s="187"/>
      <c r="V6" s="187"/>
      <c r="W6" s="187"/>
      <c r="X6" s="187"/>
      <c r="Y6" s="187"/>
      <c r="Z6" s="187"/>
      <c r="AA6" s="187"/>
      <c r="AB6" s="187"/>
      <c r="AC6" s="187"/>
      <c r="AD6" s="187"/>
      <c r="AE6" s="187"/>
      <c r="AF6" s="187"/>
      <c r="AG6" s="187"/>
      <c r="AH6" s="187"/>
      <c r="AI6" s="187"/>
      <c r="AJ6" s="187"/>
      <c r="AK6" s="187"/>
      <c r="AL6" s="187"/>
      <c r="AM6" s="187"/>
      <c r="AN6" s="187"/>
      <c r="AO6" s="187"/>
      <c r="AP6" s="187"/>
      <c r="AQ6" s="187"/>
      <c r="AR6" s="187"/>
      <c r="AS6" s="187"/>
      <c r="AT6" s="187"/>
      <c r="AU6" s="187"/>
      <c r="AV6" s="187"/>
      <c r="AW6" s="187"/>
      <c r="AX6" s="187"/>
      <c r="AY6" s="187"/>
      <c r="AZ6" s="187"/>
      <c r="BA6" s="187"/>
      <c r="BB6" s="187"/>
      <c r="BC6" s="187"/>
      <c r="BD6" s="187"/>
      <c r="BE6" s="187"/>
      <c r="BF6" s="187"/>
      <c r="BG6" s="187"/>
      <c r="BH6" s="187"/>
      <c r="BI6" s="187"/>
      <c r="BJ6" s="187"/>
      <c r="BK6" s="187"/>
      <c r="BL6" s="187"/>
      <c r="BM6" s="187"/>
      <c r="BN6" s="187"/>
      <c r="BO6" s="187"/>
      <c r="BP6" s="187"/>
      <c r="BQ6" s="187"/>
      <c r="BR6" s="187"/>
      <c r="BS6" s="187"/>
      <c r="BT6" s="187"/>
      <c r="BU6" s="187"/>
      <c r="BV6" s="187"/>
      <c r="BW6" s="187"/>
      <c r="BX6" s="187"/>
      <c r="BY6" s="187"/>
      <c r="BZ6" s="187"/>
      <c r="CA6" s="187"/>
      <c r="CB6" s="187"/>
      <c r="CC6" s="187"/>
      <c r="CD6" s="187"/>
      <c r="CE6" s="187"/>
      <c r="CF6" s="187"/>
      <c r="CG6" s="187"/>
      <c r="CH6" s="187"/>
      <c r="CI6" s="187"/>
      <c r="CJ6" s="187"/>
      <c r="CK6" s="187"/>
      <c r="CL6" s="187"/>
      <c r="CM6" s="188"/>
      <c r="CN6" s="243" t="s">
        <v>38</v>
      </c>
      <c r="CO6" s="244"/>
      <c r="CP6" s="244"/>
      <c r="CQ6" s="244"/>
      <c r="CR6" s="244"/>
      <c r="CS6" s="244"/>
      <c r="CT6" s="244"/>
      <c r="CU6" s="264"/>
      <c r="CV6" s="243" t="s">
        <v>39</v>
      </c>
      <c r="CW6" s="244"/>
      <c r="CX6" s="244"/>
      <c r="CY6" s="244"/>
      <c r="CZ6" s="244"/>
      <c r="DA6" s="244"/>
      <c r="DB6" s="244"/>
      <c r="DC6" s="244"/>
      <c r="DD6" s="244"/>
      <c r="DE6" s="264"/>
      <c r="DF6" s="243" t="s">
        <v>40</v>
      </c>
      <c r="DG6" s="244"/>
      <c r="DH6" s="244"/>
      <c r="DI6" s="244"/>
      <c r="DJ6" s="244"/>
      <c r="DK6" s="244"/>
      <c r="DL6" s="244"/>
      <c r="DM6" s="244"/>
      <c r="DN6" s="244"/>
      <c r="DO6" s="244"/>
      <c r="DP6" s="244"/>
      <c r="DQ6" s="244"/>
      <c r="DR6" s="264"/>
      <c r="DS6" s="243" t="s">
        <v>41</v>
      </c>
      <c r="DT6" s="244"/>
      <c r="DU6" s="244"/>
      <c r="DV6" s="244"/>
      <c r="DW6" s="244"/>
      <c r="DX6" s="244"/>
      <c r="DY6" s="244"/>
      <c r="DZ6" s="244"/>
      <c r="EA6" s="244"/>
      <c r="EB6" s="244"/>
      <c r="EC6" s="244"/>
      <c r="ED6" s="244"/>
      <c r="EE6" s="264"/>
      <c r="EF6" s="243" t="s">
        <v>42</v>
      </c>
      <c r="EG6" s="244"/>
      <c r="EH6" s="244"/>
      <c r="EI6" s="244"/>
      <c r="EJ6" s="244"/>
      <c r="EK6" s="244"/>
      <c r="EL6" s="244"/>
      <c r="EM6" s="244"/>
      <c r="EN6" s="244"/>
      <c r="EO6" s="244"/>
      <c r="EP6" s="244"/>
      <c r="EQ6" s="244"/>
      <c r="ER6" s="264"/>
      <c r="ES6" s="243" t="s">
        <v>43</v>
      </c>
      <c r="ET6" s="244"/>
      <c r="EU6" s="244"/>
      <c r="EV6" s="244"/>
      <c r="EW6" s="244"/>
      <c r="EX6" s="244"/>
      <c r="EY6" s="244"/>
      <c r="EZ6" s="244"/>
      <c r="FA6" s="244"/>
      <c r="FB6" s="244"/>
      <c r="FC6" s="244"/>
      <c r="FD6" s="244"/>
      <c r="FE6" s="244"/>
    </row>
    <row r="7" ht="12.75" customHeight="1" spans="1:164">
      <c r="A7" s="189">
        <v>1</v>
      </c>
      <c r="B7" s="189"/>
      <c r="C7" s="189"/>
      <c r="D7" s="189"/>
      <c r="E7" s="189"/>
      <c r="F7" s="189"/>
      <c r="G7" s="189"/>
      <c r="H7" s="190"/>
      <c r="I7" s="220" t="s">
        <v>219</v>
      </c>
      <c r="J7" s="221"/>
      <c r="K7" s="221"/>
      <c r="L7" s="221"/>
      <c r="M7" s="221"/>
      <c r="N7" s="221"/>
      <c r="O7" s="221"/>
      <c r="P7" s="221"/>
      <c r="Q7" s="221"/>
      <c r="R7" s="221"/>
      <c r="S7" s="221"/>
      <c r="T7" s="221"/>
      <c r="U7" s="221"/>
      <c r="V7" s="221"/>
      <c r="W7" s="221"/>
      <c r="X7" s="221"/>
      <c r="Y7" s="221"/>
      <c r="Z7" s="221"/>
      <c r="AA7" s="221"/>
      <c r="AB7" s="221"/>
      <c r="AC7" s="221"/>
      <c r="AD7" s="221"/>
      <c r="AE7" s="221"/>
      <c r="AF7" s="221"/>
      <c r="AG7" s="221"/>
      <c r="AH7" s="221"/>
      <c r="AI7" s="221"/>
      <c r="AJ7" s="221"/>
      <c r="AK7" s="221"/>
      <c r="AL7" s="221"/>
      <c r="AM7" s="221"/>
      <c r="AN7" s="221"/>
      <c r="AO7" s="221"/>
      <c r="AP7" s="221"/>
      <c r="AQ7" s="221"/>
      <c r="AR7" s="221"/>
      <c r="AS7" s="221"/>
      <c r="AT7" s="221"/>
      <c r="AU7" s="221"/>
      <c r="AV7" s="221"/>
      <c r="AW7" s="221"/>
      <c r="AX7" s="221"/>
      <c r="AY7" s="221"/>
      <c r="AZ7" s="221"/>
      <c r="BA7" s="221"/>
      <c r="BB7" s="221"/>
      <c r="BC7" s="221"/>
      <c r="BD7" s="221"/>
      <c r="BE7" s="221"/>
      <c r="BF7" s="221"/>
      <c r="BG7" s="221"/>
      <c r="BH7" s="221"/>
      <c r="BI7" s="221"/>
      <c r="BJ7" s="221"/>
      <c r="BK7" s="221"/>
      <c r="BL7" s="221"/>
      <c r="BM7" s="221"/>
      <c r="BN7" s="221"/>
      <c r="BO7" s="221"/>
      <c r="BP7" s="221"/>
      <c r="BQ7" s="221"/>
      <c r="BR7" s="221"/>
      <c r="BS7" s="221"/>
      <c r="BT7" s="221"/>
      <c r="BU7" s="221"/>
      <c r="BV7" s="221"/>
      <c r="BW7" s="221"/>
      <c r="BX7" s="221"/>
      <c r="BY7" s="221"/>
      <c r="BZ7" s="221"/>
      <c r="CA7" s="221"/>
      <c r="CB7" s="221"/>
      <c r="CC7" s="221"/>
      <c r="CD7" s="221"/>
      <c r="CE7" s="221"/>
      <c r="CF7" s="221"/>
      <c r="CG7" s="221"/>
      <c r="CH7" s="221"/>
      <c r="CI7" s="221"/>
      <c r="CJ7" s="221"/>
      <c r="CK7" s="221"/>
      <c r="CL7" s="221"/>
      <c r="CM7" s="221"/>
      <c r="CN7" s="245" t="s">
        <v>220</v>
      </c>
      <c r="CO7" s="246"/>
      <c r="CP7" s="246"/>
      <c r="CQ7" s="246"/>
      <c r="CR7" s="246"/>
      <c r="CS7" s="246"/>
      <c r="CT7" s="246"/>
      <c r="CU7" s="265"/>
      <c r="CV7" s="266" t="s">
        <v>46</v>
      </c>
      <c r="CW7" s="267"/>
      <c r="CX7" s="267"/>
      <c r="CY7" s="267"/>
      <c r="CZ7" s="267"/>
      <c r="DA7" s="267"/>
      <c r="DB7" s="267"/>
      <c r="DC7" s="267"/>
      <c r="DD7" s="267"/>
      <c r="DE7" s="284"/>
      <c r="DF7" s="285">
        <f>DF8+DF9+DF10+DF11</f>
        <v>10341854.88</v>
      </c>
      <c r="DG7" s="286"/>
      <c r="DH7" s="286"/>
      <c r="DI7" s="286"/>
      <c r="DJ7" s="286"/>
      <c r="DK7" s="286"/>
      <c r="DL7" s="286"/>
      <c r="DM7" s="286"/>
      <c r="DN7" s="286"/>
      <c r="DO7" s="286"/>
      <c r="DP7" s="286"/>
      <c r="DQ7" s="286"/>
      <c r="DR7" s="307"/>
      <c r="DS7" s="285">
        <f t="shared" ref="DS7" si="0">DS8+DS9+DS10+DS11</f>
        <v>10086354.88</v>
      </c>
      <c r="DT7" s="286"/>
      <c r="DU7" s="286"/>
      <c r="DV7" s="286"/>
      <c r="DW7" s="286"/>
      <c r="DX7" s="286"/>
      <c r="DY7" s="286"/>
      <c r="DZ7" s="286"/>
      <c r="EA7" s="286"/>
      <c r="EB7" s="286"/>
      <c r="EC7" s="286"/>
      <c r="ED7" s="286"/>
      <c r="EE7" s="307"/>
      <c r="EF7" s="285">
        <f t="shared" ref="EF7" si="1">EF8+EF9+EF10+EF11</f>
        <v>10184354.88</v>
      </c>
      <c r="EG7" s="286"/>
      <c r="EH7" s="286"/>
      <c r="EI7" s="286"/>
      <c r="EJ7" s="286"/>
      <c r="EK7" s="286"/>
      <c r="EL7" s="286"/>
      <c r="EM7" s="286"/>
      <c r="EN7" s="286"/>
      <c r="EO7" s="286"/>
      <c r="EP7" s="286"/>
      <c r="EQ7" s="286"/>
      <c r="ER7" s="307"/>
      <c r="ES7" s="285">
        <f>ES8+ES9+ES10+ES11+ES22</f>
        <v>0</v>
      </c>
      <c r="ET7" s="286"/>
      <c r="EU7" s="286"/>
      <c r="EV7" s="286"/>
      <c r="EW7" s="286"/>
      <c r="EX7" s="286"/>
      <c r="EY7" s="286"/>
      <c r="EZ7" s="286"/>
      <c r="FA7" s="286"/>
      <c r="FB7" s="286"/>
      <c r="FC7" s="286"/>
      <c r="FD7" s="286"/>
      <c r="FE7" s="307"/>
      <c r="FH7" s="316"/>
    </row>
    <row r="8" ht="104.25" customHeight="1" spans="1:161">
      <c r="A8" s="191" t="s">
        <v>221</v>
      </c>
      <c r="B8" s="191"/>
      <c r="C8" s="191"/>
      <c r="D8" s="191"/>
      <c r="E8" s="191"/>
      <c r="F8" s="191"/>
      <c r="G8" s="191"/>
      <c r="H8" s="192"/>
      <c r="I8" s="222" t="s">
        <v>222</v>
      </c>
      <c r="J8" s="223"/>
      <c r="K8" s="223"/>
      <c r="L8" s="223"/>
      <c r="M8" s="223"/>
      <c r="N8" s="223"/>
      <c r="O8" s="223"/>
      <c r="P8" s="223"/>
      <c r="Q8" s="223"/>
      <c r="R8" s="223"/>
      <c r="S8" s="223"/>
      <c r="T8" s="223"/>
      <c r="U8" s="223"/>
      <c r="V8" s="223"/>
      <c r="W8" s="223"/>
      <c r="X8" s="223"/>
      <c r="Y8" s="223"/>
      <c r="Z8" s="223"/>
      <c r="AA8" s="223"/>
      <c r="AB8" s="223"/>
      <c r="AC8" s="223"/>
      <c r="AD8" s="223"/>
      <c r="AE8" s="223"/>
      <c r="AF8" s="223"/>
      <c r="AG8" s="223"/>
      <c r="AH8" s="223"/>
      <c r="AI8" s="223"/>
      <c r="AJ8" s="223"/>
      <c r="AK8" s="223"/>
      <c r="AL8" s="223"/>
      <c r="AM8" s="223"/>
      <c r="AN8" s="223"/>
      <c r="AO8" s="223"/>
      <c r="AP8" s="223"/>
      <c r="AQ8" s="223"/>
      <c r="AR8" s="223"/>
      <c r="AS8" s="223"/>
      <c r="AT8" s="223"/>
      <c r="AU8" s="223"/>
      <c r="AV8" s="223"/>
      <c r="AW8" s="223"/>
      <c r="AX8" s="223"/>
      <c r="AY8" s="223"/>
      <c r="AZ8" s="223"/>
      <c r="BA8" s="223"/>
      <c r="BB8" s="223"/>
      <c r="BC8" s="223"/>
      <c r="BD8" s="223"/>
      <c r="BE8" s="223"/>
      <c r="BF8" s="223"/>
      <c r="BG8" s="223"/>
      <c r="BH8" s="223"/>
      <c r="BI8" s="223"/>
      <c r="BJ8" s="223"/>
      <c r="BK8" s="223"/>
      <c r="BL8" s="223"/>
      <c r="BM8" s="223"/>
      <c r="BN8" s="223"/>
      <c r="BO8" s="223"/>
      <c r="BP8" s="223"/>
      <c r="BQ8" s="223"/>
      <c r="BR8" s="223"/>
      <c r="BS8" s="223"/>
      <c r="BT8" s="223"/>
      <c r="BU8" s="223"/>
      <c r="BV8" s="223"/>
      <c r="BW8" s="223"/>
      <c r="BX8" s="223"/>
      <c r="BY8" s="223"/>
      <c r="BZ8" s="223"/>
      <c r="CA8" s="223"/>
      <c r="CB8" s="223"/>
      <c r="CC8" s="223"/>
      <c r="CD8" s="223"/>
      <c r="CE8" s="223"/>
      <c r="CF8" s="223"/>
      <c r="CG8" s="223"/>
      <c r="CH8" s="223"/>
      <c r="CI8" s="223"/>
      <c r="CJ8" s="223"/>
      <c r="CK8" s="223"/>
      <c r="CL8" s="223"/>
      <c r="CM8" s="223"/>
      <c r="CN8" s="247" t="s">
        <v>223</v>
      </c>
      <c r="CO8" s="191"/>
      <c r="CP8" s="191"/>
      <c r="CQ8" s="191"/>
      <c r="CR8" s="191"/>
      <c r="CS8" s="191"/>
      <c r="CT8" s="191"/>
      <c r="CU8" s="192"/>
      <c r="CV8" s="268" t="s">
        <v>46</v>
      </c>
      <c r="CW8" s="191"/>
      <c r="CX8" s="191"/>
      <c r="CY8" s="191"/>
      <c r="CZ8" s="191"/>
      <c r="DA8" s="191"/>
      <c r="DB8" s="191"/>
      <c r="DC8" s="191"/>
      <c r="DD8" s="191"/>
      <c r="DE8" s="192"/>
      <c r="DF8" s="287"/>
      <c r="DG8" s="288"/>
      <c r="DH8" s="288"/>
      <c r="DI8" s="288"/>
      <c r="DJ8" s="288"/>
      <c r="DK8" s="288"/>
      <c r="DL8" s="288"/>
      <c r="DM8" s="288"/>
      <c r="DN8" s="288"/>
      <c r="DO8" s="288"/>
      <c r="DP8" s="288"/>
      <c r="DQ8" s="288"/>
      <c r="DR8" s="308"/>
      <c r="DS8" s="287"/>
      <c r="DT8" s="288"/>
      <c r="DU8" s="288"/>
      <c r="DV8" s="288"/>
      <c r="DW8" s="288"/>
      <c r="DX8" s="288"/>
      <c r="DY8" s="288"/>
      <c r="DZ8" s="288"/>
      <c r="EA8" s="288"/>
      <c r="EB8" s="288"/>
      <c r="EC8" s="288"/>
      <c r="ED8" s="288"/>
      <c r="EE8" s="308"/>
      <c r="EF8" s="287"/>
      <c r="EG8" s="288"/>
      <c r="EH8" s="288"/>
      <c r="EI8" s="288"/>
      <c r="EJ8" s="288"/>
      <c r="EK8" s="288"/>
      <c r="EL8" s="288"/>
      <c r="EM8" s="288"/>
      <c r="EN8" s="288"/>
      <c r="EO8" s="288"/>
      <c r="EP8" s="288"/>
      <c r="EQ8" s="288"/>
      <c r="ER8" s="308"/>
      <c r="ES8" s="287"/>
      <c r="ET8" s="288"/>
      <c r="EU8" s="288"/>
      <c r="EV8" s="288"/>
      <c r="EW8" s="288"/>
      <c r="EX8" s="288"/>
      <c r="EY8" s="288"/>
      <c r="EZ8" s="288"/>
      <c r="FA8" s="288"/>
      <c r="FB8" s="288"/>
      <c r="FC8" s="288"/>
      <c r="FD8" s="288"/>
      <c r="FE8" s="317"/>
    </row>
    <row r="9" ht="24" customHeight="1" spans="1:161">
      <c r="A9" s="191" t="s">
        <v>224</v>
      </c>
      <c r="B9" s="191"/>
      <c r="C9" s="191"/>
      <c r="D9" s="191"/>
      <c r="E9" s="191"/>
      <c r="F9" s="191"/>
      <c r="G9" s="191"/>
      <c r="H9" s="192"/>
      <c r="I9" s="222" t="s">
        <v>225</v>
      </c>
      <c r="J9" s="223"/>
      <c r="K9" s="223"/>
      <c r="L9" s="223"/>
      <c r="M9" s="223"/>
      <c r="N9" s="223"/>
      <c r="O9" s="223"/>
      <c r="P9" s="223"/>
      <c r="Q9" s="223"/>
      <c r="R9" s="223"/>
      <c r="S9" s="223"/>
      <c r="T9" s="223"/>
      <c r="U9" s="223"/>
      <c r="V9" s="223"/>
      <c r="W9" s="223"/>
      <c r="X9" s="223"/>
      <c r="Y9" s="223"/>
      <c r="Z9" s="223"/>
      <c r="AA9" s="223"/>
      <c r="AB9" s="223"/>
      <c r="AC9" s="223"/>
      <c r="AD9" s="223"/>
      <c r="AE9" s="223"/>
      <c r="AF9" s="223"/>
      <c r="AG9" s="223"/>
      <c r="AH9" s="223"/>
      <c r="AI9" s="223"/>
      <c r="AJ9" s="223"/>
      <c r="AK9" s="223"/>
      <c r="AL9" s="223"/>
      <c r="AM9" s="223"/>
      <c r="AN9" s="223"/>
      <c r="AO9" s="223"/>
      <c r="AP9" s="223"/>
      <c r="AQ9" s="223"/>
      <c r="AR9" s="223"/>
      <c r="AS9" s="223"/>
      <c r="AT9" s="223"/>
      <c r="AU9" s="223"/>
      <c r="AV9" s="223"/>
      <c r="AW9" s="223"/>
      <c r="AX9" s="223"/>
      <c r="AY9" s="223"/>
      <c r="AZ9" s="223"/>
      <c r="BA9" s="223"/>
      <c r="BB9" s="223"/>
      <c r="BC9" s="223"/>
      <c r="BD9" s="223"/>
      <c r="BE9" s="223"/>
      <c r="BF9" s="223"/>
      <c r="BG9" s="223"/>
      <c r="BH9" s="223"/>
      <c r="BI9" s="223"/>
      <c r="BJ9" s="223"/>
      <c r="BK9" s="223"/>
      <c r="BL9" s="223"/>
      <c r="BM9" s="223"/>
      <c r="BN9" s="223"/>
      <c r="BO9" s="223"/>
      <c r="BP9" s="223"/>
      <c r="BQ9" s="223"/>
      <c r="BR9" s="223"/>
      <c r="BS9" s="223"/>
      <c r="BT9" s="223"/>
      <c r="BU9" s="223"/>
      <c r="BV9" s="223"/>
      <c r="BW9" s="223"/>
      <c r="BX9" s="223"/>
      <c r="BY9" s="223"/>
      <c r="BZ9" s="223"/>
      <c r="CA9" s="223"/>
      <c r="CB9" s="223"/>
      <c r="CC9" s="223"/>
      <c r="CD9" s="223"/>
      <c r="CE9" s="223"/>
      <c r="CF9" s="223"/>
      <c r="CG9" s="223"/>
      <c r="CH9" s="223"/>
      <c r="CI9" s="223"/>
      <c r="CJ9" s="223"/>
      <c r="CK9" s="223"/>
      <c r="CL9" s="223"/>
      <c r="CM9" s="223"/>
      <c r="CN9" s="247" t="s">
        <v>226</v>
      </c>
      <c r="CO9" s="191"/>
      <c r="CP9" s="191"/>
      <c r="CQ9" s="191"/>
      <c r="CR9" s="191"/>
      <c r="CS9" s="191"/>
      <c r="CT9" s="191"/>
      <c r="CU9" s="192"/>
      <c r="CV9" s="268" t="s">
        <v>46</v>
      </c>
      <c r="CW9" s="191"/>
      <c r="CX9" s="191"/>
      <c r="CY9" s="191"/>
      <c r="CZ9" s="191"/>
      <c r="DA9" s="191"/>
      <c r="DB9" s="191"/>
      <c r="DC9" s="191"/>
      <c r="DD9" s="191"/>
      <c r="DE9" s="192"/>
      <c r="DF9" s="287"/>
      <c r="DG9" s="288"/>
      <c r="DH9" s="288"/>
      <c r="DI9" s="288"/>
      <c r="DJ9" s="288"/>
      <c r="DK9" s="288"/>
      <c r="DL9" s="288"/>
      <c r="DM9" s="288"/>
      <c r="DN9" s="288"/>
      <c r="DO9" s="288"/>
      <c r="DP9" s="288"/>
      <c r="DQ9" s="288"/>
      <c r="DR9" s="308"/>
      <c r="DS9" s="287"/>
      <c r="DT9" s="288"/>
      <c r="DU9" s="288"/>
      <c r="DV9" s="288"/>
      <c r="DW9" s="288"/>
      <c r="DX9" s="288"/>
      <c r="DY9" s="288"/>
      <c r="DZ9" s="288"/>
      <c r="EA9" s="288"/>
      <c r="EB9" s="288"/>
      <c r="EC9" s="288"/>
      <c r="ED9" s="288"/>
      <c r="EE9" s="308"/>
      <c r="EF9" s="287"/>
      <c r="EG9" s="288"/>
      <c r="EH9" s="288"/>
      <c r="EI9" s="288"/>
      <c r="EJ9" s="288"/>
      <c r="EK9" s="288"/>
      <c r="EL9" s="288"/>
      <c r="EM9" s="288"/>
      <c r="EN9" s="288"/>
      <c r="EO9" s="288"/>
      <c r="EP9" s="288"/>
      <c r="EQ9" s="288"/>
      <c r="ER9" s="308"/>
      <c r="ES9" s="287"/>
      <c r="ET9" s="288"/>
      <c r="EU9" s="288"/>
      <c r="EV9" s="288"/>
      <c r="EW9" s="288"/>
      <c r="EX9" s="288"/>
      <c r="EY9" s="288"/>
      <c r="EZ9" s="288"/>
      <c r="FA9" s="288"/>
      <c r="FB9" s="288"/>
      <c r="FC9" s="288"/>
      <c r="FD9" s="288"/>
      <c r="FE9" s="317"/>
    </row>
    <row r="10" ht="24" customHeight="1" spans="1:161">
      <c r="A10" s="191" t="s">
        <v>227</v>
      </c>
      <c r="B10" s="191"/>
      <c r="C10" s="191"/>
      <c r="D10" s="191"/>
      <c r="E10" s="191"/>
      <c r="F10" s="191"/>
      <c r="G10" s="191"/>
      <c r="H10" s="192"/>
      <c r="I10" s="222" t="s">
        <v>228</v>
      </c>
      <c r="J10" s="223"/>
      <c r="K10" s="223"/>
      <c r="L10" s="223"/>
      <c r="M10" s="223"/>
      <c r="N10" s="223"/>
      <c r="O10" s="223"/>
      <c r="P10" s="223"/>
      <c r="Q10" s="223"/>
      <c r="R10" s="223"/>
      <c r="S10" s="223"/>
      <c r="T10" s="223"/>
      <c r="U10" s="223"/>
      <c r="V10" s="223"/>
      <c r="W10" s="223"/>
      <c r="X10" s="223"/>
      <c r="Y10" s="223"/>
      <c r="Z10" s="223"/>
      <c r="AA10" s="223"/>
      <c r="AB10" s="223"/>
      <c r="AC10" s="223"/>
      <c r="AD10" s="223"/>
      <c r="AE10" s="223"/>
      <c r="AF10" s="223"/>
      <c r="AG10" s="223"/>
      <c r="AH10" s="223"/>
      <c r="AI10" s="223"/>
      <c r="AJ10" s="223"/>
      <c r="AK10" s="223"/>
      <c r="AL10" s="223"/>
      <c r="AM10" s="223"/>
      <c r="AN10" s="223"/>
      <c r="AO10" s="223"/>
      <c r="AP10" s="223"/>
      <c r="AQ10" s="223"/>
      <c r="AR10" s="223"/>
      <c r="AS10" s="223"/>
      <c r="AT10" s="223"/>
      <c r="AU10" s="223"/>
      <c r="AV10" s="223"/>
      <c r="AW10" s="223"/>
      <c r="AX10" s="223"/>
      <c r="AY10" s="223"/>
      <c r="AZ10" s="223"/>
      <c r="BA10" s="223"/>
      <c r="BB10" s="223"/>
      <c r="BC10" s="223"/>
      <c r="BD10" s="223"/>
      <c r="BE10" s="223"/>
      <c r="BF10" s="223"/>
      <c r="BG10" s="223"/>
      <c r="BH10" s="223"/>
      <c r="BI10" s="223"/>
      <c r="BJ10" s="223"/>
      <c r="BK10" s="223"/>
      <c r="BL10" s="223"/>
      <c r="BM10" s="223"/>
      <c r="BN10" s="223"/>
      <c r="BO10" s="223"/>
      <c r="BP10" s="223"/>
      <c r="BQ10" s="223"/>
      <c r="BR10" s="223"/>
      <c r="BS10" s="223"/>
      <c r="BT10" s="223"/>
      <c r="BU10" s="223"/>
      <c r="BV10" s="223"/>
      <c r="BW10" s="223"/>
      <c r="BX10" s="223"/>
      <c r="BY10" s="223"/>
      <c r="BZ10" s="223"/>
      <c r="CA10" s="223"/>
      <c r="CB10" s="223"/>
      <c r="CC10" s="223"/>
      <c r="CD10" s="223"/>
      <c r="CE10" s="223"/>
      <c r="CF10" s="223"/>
      <c r="CG10" s="223"/>
      <c r="CH10" s="223"/>
      <c r="CI10" s="223"/>
      <c r="CJ10" s="223"/>
      <c r="CK10" s="223"/>
      <c r="CL10" s="223"/>
      <c r="CM10" s="223"/>
      <c r="CN10" s="247" t="s">
        <v>229</v>
      </c>
      <c r="CO10" s="191"/>
      <c r="CP10" s="191"/>
      <c r="CQ10" s="191"/>
      <c r="CR10" s="191"/>
      <c r="CS10" s="191"/>
      <c r="CT10" s="191"/>
      <c r="CU10" s="192"/>
      <c r="CV10" s="268" t="s">
        <v>46</v>
      </c>
      <c r="CW10" s="191"/>
      <c r="CX10" s="191"/>
      <c r="CY10" s="191"/>
      <c r="CZ10" s="191"/>
      <c r="DA10" s="191"/>
      <c r="DB10" s="191"/>
      <c r="DC10" s="191"/>
      <c r="DD10" s="191"/>
      <c r="DE10" s="192"/>
      <c r="DF10" s="287">
        <v>107638.77</v>
      </c>
      <c r="DG10" s="288"/>
      <c r="DH10" s="288"/>
      <c r="DI10" s="288"/>
      <c r="DJ10" s="288"/>
      <c r="DK10" s="288"/>
      <c r="DL10" s="288"/>
      <c r="DM10" s="288"/>
      <c r="DN10" s="288"/>
      <c r="DO10" s="288"/>
      <c r="DP10" s="288"/>
      <c r="DQ10" s="288"/>
      <c r="DR10" s="308"/>
      <c r="DS10" s="287"/>
      <c r="DT10" s="288"/>
      <c r="DU10" s="288"/>
      <c r="DV10" s="288"/>
      <c r="DW10" s="288"/>
      <c r="DX10" s="288"/>
      <c r="DY10" s="288"/>
      <c r="DZ10" s="288"/>
      <c r="EA10" s="288"/>
      <c r="EB10" s="288"/>
      <c r="EC10" s="288"/>
      <c r="ED10" s="288"/>
      <c r="EE10" s="308"/>
      <c r="EF10" s="287"/>
      <c r="EG10" s="288"/>
      <c r="EH10" s="288"/>
      <c r="EI10" s="288"/>
      <c r="EJ10" s="288"/>
      <c r="EK10" s="288"/>
      <c r="EL10" s="288"/>
      <c r="EM10" s="288"/>
      <c r="EN10" s="288"/>
      <c r="EO10" s="288"/>
      <c r="EP10" s="288"/>
      <c r="EQ10" s="288"/>
      <c r="ER10" s="308"/>
      <c r="ES10" s="287"/>
      <c r="ET10" s="288"/>
      <c r="EU10" s="288"/>
      <c r="EV10" s="288"/>
      <c r="EW10" s="288"/>
      <c r="EX10" s="288"/>
      <c r="EY10" s="288"/>
      <c r="EZ10" s="288"/>
      <c r="FA10" s="288"/>
      <c r="FB10" s="288"/>
      <c r="FC10" s="288"/>
      <c r="FD10" s="288"/>
      <c r="FE10" s="317"/>
    </row>
    <row r="11" ht="24" customHeight="1" spans="1:161">
      <c r="A11" s="191" t="s">
        <v>230</v>
      </c>
      <c r="B11" s="191"/>
      <c r="C11" s="191"/>
      <c r="D11" s="191"/>
      <c r="E11" s="191"/>
      <c r="F11" s="191"/>
      <c r="G11" s="191"/>
      <c r="H11" s="192"/>
      <c r="I11" s="222" t="s">
        <v>231</v>
      </c>
      <c r="J11" s="223"/>
      <c r="K11" s="223"/>
      <c r="L11" s="223"/>
      <c r="M11" s="223"/>
      <c r="N11" s="223"/>
      <c r="O11" s="223"/>
      <c r="P11" s="223"/>
      <c r="Q11" s="223"/>
      <c r="R11" s="223"/>
      <c r="S11" s="223"/>
      <c r="T11" s="223"/>
      <c r="U11" s="223"/>
      <c r="V11" s="223"/>
      <c r="W11" s="223"/>
      <c r="X11" s="223"/>
      <c r="Y11" s="223"/>
      <c r="Z11" s="223"/>
      <c r="AA11" s="223"/>
      <c r="AB11" s="223"/>
      <c r="AC11" s="223"/>
      <c r="AD11" s="223"/>
      <c r="AE11" s="223"/>
      <c r="AF11" s="223"/>
      <c r="AG11" s="223"/>
      <c r="AH11" s="223"/>
      <c r="AI11" s="223"/>
      <c r="AJ11" s="223"/>
      <c r="AK11" s="223"/>
      <c r="AL11" s="223"/>
      <c r="AM11" s="223"/>
      <c r="AN11" s="223"/>
      <c r="AO11" s="223"/>
      <c r="AP11" s="223"/>
      <c r="AQ11" s="223"/>
      <c r="AR11" s="223"/>
      <c r="AS11" s="223"/>
      <c r="AT11" s="223"/>
      <c r="AU11" s="223"/>
      <c r="AV11" s="223"/>
      <c r="AW11" s="223"/>
      <c r="AX11" s="223"/>
      <c r="AY11" s="223"/>
      <c r="AZ11" s="223"/>
      <c r="BA11" s="223"/>
      <c r="BB11" s="223"/>
      <c r="BC11" s="223"/>
      <c r="BD11" s="223"/>
      <c r="BE11" s="223"/>
      <c r="BF11" s="223"/>
      <c r="BG11" s="223"/>
      <c r="BH11" s="223"/>
      <c r="BI11" s="223"/>
      <c r="BJ11" s="223"/>
      <c r="BK11" s="223"/>
      <c r="BL11" s="223"/>
      <c r="BM11" s="223"/>
      <c r="BN11" s="223"/>
      <c r="BO11" s="223"/>
      <c r="BP11" s="223"/>
      <c r="BQ11" s="223"/>
      <c r="BR11" s="223"/>
      <c r="BS11" s="223"/>
      <c r="BT11" s="223"/>
      <c r="BU11" s="223"/>
      <c r="BV11" s="223"/>
      <c r="BW11" s="223"/>
      <c r="BX11" s="223"/>
      <c r="BY11" s="223"/>
      <c r="BZ11" s="223"/>
      <c r="CA11" s="223"/>
      <c r="CB11" s="223"/>
      <c r="CC11" s="223"/>
      <c r="CD11" s="223"/>
      <c r="CE11" s="223"/>
      <c r="CF11" s="223"/>
      <c r="CG11" s="223"/>
      <c r="CH11" s="223"/>
      <c r="CI11" s="223"/>
      <c r="CJ11" s="223"/>
      <c r="CK11" s="223"/>
      <c r="CL11" s="223"/>
      <c r="CM11" s="223"/>
      <c r="CN11" s="247" t="s">
        <v>232</v>
      </c>
      <c r="CO11" s="191"/>
      <c r="CP11" s="191"/>
      <c r="CQ11" s="191"/>
      <c r="CR11" s="191"/>
      <c r="CS11" s="191"/>
      <c r="CT11" s="191"/>
      <c r="CU11" s="192"/>
      <c r="CV11" s="268" t="s">
        <v>46</v>
      </c>
      <c r="CW11" s="191"/>
      <c r="CX11" s="191"/>
      <c r="CY11" s="191"/>
      <c r="CZ11" s="191"/>
      <c r="DA11" s="191"/>
      <c r="DB11" s="191"/>
      <c r="DC11" s="191"/>
      <c r="DD11" s="191"/>
      <c r="DE11" s="192"/>
      <c r="DF11" s="287">
        <f>DF12+DF15+DF19</f>
        <v>10234216.11</v>
      </c>
      <c r="DG11" s="288"/>
      <c r="DH11" s="288"/>
      <c r="DI11" s="288"/>
      <c r="DJ11" s="288"/>
      <c r="DK11" s="288"/>
      <c r="DL11" s="288"/>
      <c r="DM11" s="288"/>
      <c r="DN11" s="288"/>
      <c r="DO11" s="288"/>
      <c r="DP11" s="288"/>
      <c r="DQ11" s="288"/>
      <c r="DR11" s="308"/>
      <c r="DS11" s="287">
        <f>DS12+DS15+DS19</f>
        <v>10086354.88</v>
      </c>
      <c r="DT11" s="288"/>
      <c r="DU11" s="288"/>
      <c r="DV11" s="288"/>
      <c r="DW11" s="288"/>
      <c r="DX11" s="288"/>
      <c r="DY11" s="288"/>
      <c r="DZ11" s="288"/>
      <c r="EA11" s="288"/>
      <c r="EB11" s="288"/>
      <c r="EC11" s="288"/>
      <c r="ED11" s="288"/>
      <c r="EE11" s="308"/>
      <c r="EF11" s="287">
        <f>EF12+EF15+EF19</f>
        <v>10184354.88</v>
      </c>
      <c r="EG11" s="288"/>
      <c r="EH11" s="288"/>
      <c r="EI11" s="288"/>
      <c r="EJ11" s="288"/>
      <c r="EK11" s="288"/>
      <c r="EL11" s="288"/>
      <c r="EM11" s="288"/>
      <c r="EN11" s="288"/>
      <c r="EO11" s="288"/>
      <c r="EP11" s="288"/>
      <c r="EQ11" s="288"/>
      <c r="ER11" s="308"/>
      <c r="ES11" s="287">
        <f>ES12+ES15+ES19</f>
        <v>0</v>
      </c>
      <c r="ET11" s="288"/>
      <c r="EU11" s="288"/>
      <c r="EV11" s="288"/>
      <c r="EW11" s="288"/>
      <c r="EX11" s="288"/>
      <c r="EY11" s="288"/>
      <c r="EZ11" s="288"/>
      <c r="FA11" s="288"/>
      <c r="FB11" s="288"/>
      <c r="FC11" s="288"/>
      <c r="FD11" s="288"/>
      <c r="FE11" s="308"/>
    </row>
    <row r="12" ht="34.5" customHeight="1" spans="1:164">
      <c r="A12" s="191" t="s">
        <v>233</v>
      </c>
      <c r="B12" s="191"/>
      <c r="C12" s="191"/>
      <c r="D12" s="191"/>
      <c r="E12" s="191"/>
      <c r="F12" s="191"/>
      <c r="G12" s="191"/>
      <c r="H12" s="192"/>
      <c r="I12" s="224" t="s">
        <v>234</v>
      </c>
      <c r="J12" s="225"/>
      <c r="K12" s="225"/>
      <c r="L12" s="225"/>
      <c r="M12" s="225"/>
      <c r="N12" s="225"/>
      <c r="O12" s="225"/>
      <c r="P12" s="225"/>
      <c r="Q12" s="225"/>
      <c r="R12" s="225"/>
      <c r="S12" s="225"/>
      <c r="T12" s="225"/>
      <c r="U12" s="225"/>
      <c r="V12" s="225"/>
      <c r="W12" s="225"/>
      <c r="X12" s="225"/>
      <c r="Y12" s="225"/>
      <c r="Z12" s="225"/>
      <c r="AA12" s="225"/>
      <c r="AB12" s="225"/>
      <c r="AC12" s="225"/>
      <c r="AD12" s="225"/>
      <c r="AE12" s="225"/>
      <c r="AF12" s="225"/>
      <c r="AG12" s="225"/>
      <c r="AH12" s="225"/>
      <c r="AI12" s="225"/>
      <c r="AJ12" s="225"/>
      <c r="AK12" s="225"/>
      <c r="AL12" s="225"/>
      <c r="AM12" s="225"/>
      <c r="AN12" s="225"/>
      <c r="AO12" s="225"/>
      <c r="AP12" s="225"/>
      <c r="AQ12" s="225"/>
      <c r="AR12" s="225"/>
      <c r="AS12" s="225"/>
      <c r="AT12" s="225"/>
      <c r="AU12" s="225"/>
      <c r="AV12" s="225"/>
      <c r="AW12" s="225"/>
      <c r="AX12" s="225"/>
      <c r="AY12" s="225"/>
      <c r="AZ12" s="225"/>
      <c r="BA12" s="225"/>
      <c r="BB12" s="225"/>
      <c r="BC12" s="225"/>
      <c r="BD12" s="225"/>
      <c r="BE12" s="225"/>
      <c r="BF12" s="225"/>
      <c r="BG12" s="225"/>
      <c r="BH12" s="225"/>
      <c r="BI12" s="225"/>
      <c r="BJ12" s="225"/>
      <c r="BK12" s="225"/>
      <c r="BL12" s="225"/>
      <c r="BM12" s="225"/>
      <c r="BN12" s="225"/>
      <c r="BO12" s="225"/>
      <c r="BP12" s="225"/>
      <c r="BQ12" s="225"/>
      <c r="BR12" s="225"/>
      <c r="BS12" s="225"/>
      <c r="BT12" s="225"/>
      <c r="BU12" s="225"/>
      <c r="BV12" s="225"/>
      <c r="BW12" s="225"/>
      <c r="BX12" s="225"/>
      <c r="BY12" s="225"/>
      <c r="BZ12" s="225"/>
      <c r="CA12" s="225"/>
      <c r="CB12" s="225"/>
      <c r="CC12" s="225"/>
      <c r="CD12" s="225"/>
      <c r="CE12" s="225"/>
      <c r="CF12" s="225"/>
      <c r="CG12" s="225"/>
      <c r="CH12" s="225"/>
      <c r="CI12" s="225"/>
      <c r="CJ12" s="225"/>
      <c r="CK12" s="225"/>
      <c r="CL12" s="225"/>
      <c r="CM12" s="225"/>
      <c r="CN12" s="247" t="s">
        <v>235</v>
      </c>
      <c r="CO12" s="191"/>
      <c r="CP12" s="191"/>
      <c r="CQ12" s="191"/>
      <c r="CR12" s="191"/>
      <c r="CS12" s="191"/>
      <c r="CT12" s="191"/>
      <c r="CU12" s="192"/>
      <c r="CV12" s="268" t="s">
        <v>46</v>
      </c>
      <c r="CW12" s="191"/>
      <c r="CX12" s="191"/>
      <c r="CY12" s="191"/>
      <c r="CZ12" s="191"/>
      <c r="DA12" s="191"/>
      <c r="DB12" s="191"/>
      <c r="DC12" s="191"/>
      <c r="DD12" s="191"/>
      <c r="DE12" s="192"/>
      <c r="DF12" s="289">
        <f>DF13+DF14</f>
        <v>5700442.23</v>
      </c>
      <c r="DG12" s="290"/>
      <c r="DH12" s="290"/>
      <c r="DI12" s="290"/>
      <c r="DJ12" s="290"/>
      <c r="DK12" s="290"/>
      <c r="DL12" s="290"/>
      <c r="DM12" s="290"/>
      <c r="DN12" s="290"/>
      <c r="DO12" s="290"/>
      <c r="DP12" s="290"/>
      <c r="DQ12" s="290"/>
      <c r="DR12" s="309"/>
      <c r="DS12" s="289">
        <f>DS13+DS14</f>
        <v>5902581</v>
      </c>
      <c r="DT12" s="290"/>
      <c r="DU12" s="290"/>
      <c r="DV12" s="290"/>
      <c r="DW12" s="290"/>
      <c r="DX12" s="290"/>
      <c r="DY12" s="290"/>
      <c r="DZ12" s="290"/>
      <c r="EA12" s="290"/>
      <c r="EB12" s="290"/>
      <c r="EC12" s="290"/>
      <c r="ED12" s="290"/>
      <c r="EE12" s="309"/>
      <c r="EF12" s="289">
        <f>EF13+EF14</f>
        <v>6000581</v>
      </c>
      <c r="EG12" s="290"/>
      <c r="EH12" s="290"/>
      <c r="EI12" s="290"/>
      <c r="EJ12" s="290"/>
      <c r="EK12" s="290"/>
      <c r="EL12" s="290"/>
      <c r="EM12" s="290"/>
      <c r="EN12" s="290"/>
      <c r="EO12" s="290"/>
      <c r="EP12" s="290"/>
      <c r="EQ12" s="290"/>
      <c r="ER12" s="309"/>
      <c r="ES12" s="289">
        <f>ES13+ES14</f>
        <v>0</v>
      </c>
      <c r="ET12" s="290"/>
      <c r="EU12" s="290"/>
      <c r="EV12" s="290"/>
      <c r="EW12" s="290"/>
      <c r="EX12" s="290"/>
      <c r="EY12" s="290"/>
      <c r="EZ12" s="290"/>
      <c r="FA12" s="290"/>
      <c r="FB12" s="290"/>
      <c r="FC12" s="290"/>
      <c r="FD12" s="290"/>
      <c r="FE12" s="309"/>
      <c r="FH12" s="316"/>
    </row>
    <row r="13" s="176" customFormat="1" ht="24" customHeight="1" spans="1:164">
      <c r="A13" s="193" t="s">
        <v>236</v>
      </c>
      <c r="B13" s="193"/>
      <c r="C13" s="193"/>
      <c r="D13" s="193"/>
      <c r="E13" s="193"/>
      <c r="F13" s="193"/>
      <c r="G13" s="193"/>
      <c r="H13" s="194"/>
      <c r="I13" s="226" t="s">
        <v>237</v>
      </c>
      <c r="J13" s="227"/>
      <c r="K13" s="227"/>
      <c r="L13" s="227"/>
      <c r="M13" s="227"/>
      <c r="N13" s="227"/>
      <c r="O13" s="227"/>
      <c r="P13" s="227"/>
      <c r="Q13" s="227"/>
      <c r="R13" s="227"/>
      <c r="S13" s="227"/>
      <c r="T13" s="227"/>
      <c r="U13" s="227"/>
      <c r="V13" s="227"/>
      <c r="W13" s="227"/>
      <c r="X13" s="227"/>
      <c r="Y13" s="227"/>
      <c r="Z13" s="227"/>
      <c r="AA13" s="227"/>
      <c r="AB13" s="227"/>
      <c r="AC13" s="227"/>
      <c r="AD13" s="227"/>
      <c r="AE13" s="227"/>
      <c r="AF13" s="227"/>
      <c r="AG13" s="227"/>
      <c r="AH13" s="227"/>
      <c r="AI13" s="227"/>
      <c r="AJ13" s="227"/>
      <c r="AK13" s="227"/>
      <c r="AL13" s="227"/>
      <c r="AM13" s="227"/>
      <c r="AN13" s="227"/>
      <c r="AO13" s="227"/>
      <c r="AP13" s="227"/>
      <c r="AQ13" s="227"/>
      <c r="AR13" s="227"/>
      <c r="AS13" s="227"/>
      <c r="AT13" s="227"/>
      <c r="AU13" s="227"/>
      <c r="AV13" s="227"/>
      <c r="AW13" s="227"/>
      <c r="AX13" s="227"/>
      <c r="AY13" s="227"/>
      <c r="AZ13" s="227"/>
      <c r="BA13" s="227"/>
      <c r="BB13" s="227"/>
      <c r="BC13" s="227"/>
      <c r="BD13" s="227"/>
      <c r="BE13" s="227"/>
      <c r="BF13" s="227"/>
      <c r="BG13" s="227"/>
      <c r="BH13" s="227"/>
      <c r="BI13" s="227"/>
      <c r="BJ13" s="227"/>
      <c r="BK13" s="227"/>
      <c r="BL13" s="227"/>
      <c r="BM13" s="227"/>
      <c r="BN13" s="227"/>
      <c r="BO13" s="227"/>
      <c r="BP13" s="227"/>
      <c r="BQ13" s="227"/>
      <c r="BR13" s="227"/>
      <c r="BS13" s="227"/>
      <c r="BT13" s="227"/>
      <c r="BU13" s="227"/>
      <c r="BV13" s="227"/>
      <c r="BW13" s="227"/>
      <c r="BX13" s="227"/>
      <c r="BY13" s="227"/>
      <c r="BZ13" s="227"/>
      <c r="CA13" s="227"/>
      <c r="CB13" s="227"/>
      <c r="CC13" s="227"/>
      <c r="CD13" s="227"/>
      <c r="CE13" s="227"/>
      <c r="CF13" s="227"/>
      <c r="CG13" s="227"/>
      <c r="CH13" s="227"/>
      <c r="CI13" s="227"/>
      <c r="CJ13" s="227"/>
      <c r="CK13" s="227"/>
      <c r="CL13" s="227"/>
      <c r="CM13" s="227"/>
      <c r="CN13" s="248" t="s">
        <v>238</v>
      </c>
      <c r="CO13" s="193"/>
      <c r="CP13" s="193"/>
      <c r="CQ13" s="193"/>
      <c r="CR13" s="193"/>
      <c r="CS13" s="193"/>
      <c r="CT13" s="193"/>
      <c r="CU13" s="194"/>
      <c r="CV13" s="269" t="s">
        <v>46</v>
      </c>
      <c r="CW13" s="193"/>
      <c r="CX13" s="193"/>
      <c r="CY13" s="193"/>
      <c r="CZ13" s="193"/>
      <c r="DA13" s="193"/>
      <c r="DB13" s="193"/>
      <c r="DC13" s="193"/>
      <c r="DD13" s="193"/>
      <c r="DE13" s="194"/>
      <c r="DF13" s="291"/>
      <c r="DG13" s="292"/>
      <c r="DH13" s="292"/>
      <c r="DI13" s="292"/>
      <c r="DJ13" s="292"/>
      <c r="DK13" s="292"/>
      <c r="DL13" s="292"/>
      <c r="DM13" s="292"/>
      <c r="DN13" s="292"/>
      <c r="DO13" s="292"/>
      <c r="DP13" s="292"/>
      <c r="DQ13" s="292"/>
      <c r="DR13" s="310"/>
      <c r="DS13" s="291"/>
      <c r="DT13" s="292"/>
      <c r="DU13" s="292"/>
      <c r="DV13" s="292"/>
      <c r="DW13" s="292"/>
      <c r="DX13" s="292"/>
      <c r="DY13" s="292"/>
      <c r="DZ13" s="292"/>
      <c r="EA13" s="292"/>
      <c r="EB13" s="292"/>
      <c r="EC13" s="292"/>
      <c r="ED13" s="292"/>
      <c r="EE13" s="310"/>
      <c r="EF13" s="291"/>
      <c r="EG13" s="292"/>
      <c r="EH13" s="292"/>
      <c r="EI13" s="292"/>
      <c r="EJ13" s="292"/>
      <c r="EK13" s="292"/>
      <c r="EL13" s="292"/>
      <c r="EM13" s="292"/>
      <c r="EN13" s="292"/>
      <c r="EO13" s="292"/>
      <c r="EP13" s="292"/>
      <c r="EQ13" s="292"/>
      <c r="ER13" s="310"/>
      <c r="ES13" s="291"/>
      <c r="ET13" s="292"/>
      <c r="EU13" s="292"/>
      <c r="EV13" s="292"/>
      <c r="EW13" s="292"/>
      <c r="EX13" s="292"/>
      <c r="EY13" s="292"/>
      <c r="EZ13" s="292"/>
      <c r="FA13" s="292"/>
      <c r="FB13" s="292"/>
      <c r="FC13" s="292"/>
      <c r="FD13" s="292"/>
      <c r="FE13" s="310"/>
      <c r="FH13" s="318"/>
    </row>
    <row r="14" ht="12.75" customHeight="1" spans="1:164">
      <c r="A14" s="191" t="s">
        <v>239</v>
      </c>
      <c r="B14" s="191"/>
      <c r="C14" s="191"/>
      <c r="D14" s="191"/>
      <c r="E14" s="191"/>
      <c r="F14" s="191"/>
      <c r="G14" s="191"/>
      <c r="H14" s="192"/>
      <c r="I14" s="228" t="s">
        <v>240</v>
      </c>
      <c r="J14" s="229"/>
      <c r="K14" s="229"/>
      <c r="L14" s="229"/>
      <c r="M14" s="229"/>
      <c r="N14" s="229"/>
      <c r="O14" s="229"/>
      <c r="P14" s="229"/>
      <c r="Q14" s="229"/>
      <c r="R14" s="229"/>
      <c r="S14" s="229"/>
      <c r="T14" s="229"/>
      <c r="U14" s="229"/>
      <c r="V14" s="229"/>
      <c r="W14" s="229"/>
      <c r="X14" s="229"/>
      <c r="Y14" s="229"/>
      <c r="Z14" s="229"/>
      <c r="AA14" s="229"/>
      <c r="AB14" s="229"/>
      <c r="AC14" s="229"/>
      <c r="AD14" s="229"/>
      <c r="AE14" s="229"/>
      <c r="AF14" s="229"/>
      <c r="AG14" s="229"/>
      <c r="AH14" s="229"/>
      <c r="AI14" s="229"/>
      <c r="AJ14" s="229"/>
      <c r="AK14" s="229"/>
      <c r="AL14" s="229"/>
      <c r="AM14" s="229"/>
      <c r="AN14" s="229"/>
      <c r="AO14" s="229"/>
      <c r="AP14" s="229"/>
      <c r="AQ14" s="229"/>
      <c r="AR14" s="229"/>
      <c r="AS14" s="229"/>
      <c r="AT14" s="229"/>
      <c r="AU14" s="229"/>
      <c r="AV14" s="229"/>
      <c r="AW14" s="229"/>
      <c r="AX14" s="229"/>
      <c r="AY14" s="229"/>
      <c r="AZ14" s="229"/>
      <c r="BA14" s="229"/>
      <c r="BB14" s="229"/>
      <c r="BC14" s="229"/>
      <c r="BD14" s="229"/>
      <c r="BE14" s="229"/>
      <c r="BF14" s="229"/>
      <c r="BG14" s="229"/>
      <c r="BH14" s="229"/>
      <c r="BI14" s="229"/>
      <c r="BJ14" s="229"/>
      <c r="BK14" s="229"/>
      <c r="BL14" s="229"/>
      <c r="BM14" s="229"/>
      <c r="BN14" s="229"/>
      <c r="BO14" s="229"/>
      <c r="BP14" s="229"/>
      <c r="BQ14" s="229"/>
      <c r="BR14" s="229"/>
      <c r="BS14" s="229"/>
      <c r="BT14" s="229"/>
      <c r="BU14" s="229"/>
      <c r="BV14" s="229"/>
      <c r="BW14" s="229"/>
      <c r="BX14" s="229"/>
      <c r="BY14" s="229"/>
      <c r="BZ14" s="229"/>
      <c r="CA14" s="229"/>
      <c r="CB14" s="229"/>
      <c r="CC14" s="229"/>
      <c r="CD14" s="229"/>
      <c r="CE14" s="229"/>
      <c r="CF14" s="229"/>
      <c r="CG14" s="229"/>
      <c r="CH14" s="229"/>
      <c r="CI14" s="229"/>
      <c r="CJ14" s="229"/>
      <c r="CK14" s="229"/>
      <c r="CL14" s="229"/>
      <c r="CM14" s="229"/>
      <c r="CN14" s="247" t="s">
        <v>241</v>
      </c>
      <c r="CO14" s="191"/>
      <c r="CP14" s="191"/>
      <c r="CQ14" s="191"/>
      <c r="CR14" s="191"/>
      <c r="CS14" s="191"/>
      <c r="CT14" s="191"/>
      <c r="CU14" s="192"/>
      <c r="CV14" s="268" t="s">
        <v>46</v>
      </c>
      <c r="CW14" s="191"/>
      <c r="CX14" s="191"/>
      <c r="CY14" s="191"/>
      <c r="CZ14" s="191"/>
      <c r="DA14" s="191"/>
      <c r="DB14" s="191"/>
      <c r="DC14" s="191"/>
      <c r="DD14" s="191"/>
      <c r="DE14" s="192"/>
      <c r="DF14" s="289">
        <f>вспомогательная!K150+вспомогательная!K172+вспомогательная!K190+вспомогательная!K208+вспомогательная!K209+вспомогательная!K252+вспомогательная!K270+вспомогательная!K288+вспомогательная!K289-DF10</f>
        <v>5700442.23</v>
      </c>
      <c r="DG14" s="290"/>
      <c r="DH14" s="290"/>
      <c r="DI14" s="290"/>
      <c r="DJ14" s="290"/>
      <c r="DK14" s="290"/>
      <c r="DL14" s="290"/>
      <c r="DM14" s="290"/>
      <c r="DN14" s="290"/>
      <c r="DO14" s="290"/>
      <c r="DP14" s="290"/>
      <c r="DQ14" s="290"/>
      <c r="DR14" s="309"/>
      <c r="DS14" s="289">
        <f>вспомогательная!L150+вспомогательная!L172+вспомогательная!L190+вспомогательная!L208+вспомогательная!L209+вспомогательная!L252+вспомогательная!L270+вспомогательная!L288+вспомогательная!L289</f>
        <v>5902581</v>
      </c>
      <c r="DT14" s="290"/>
      <c r="DU14" s="290"/>
      <c r="DV14" s="290"/>
      <c r="DW14" s="290"/>
      <c r="DX14" s="290"/>
      <c r="DY14" s="290"/>
      <c r="DZ14" s="290"/>
      <c r="EA14" s="290"/>
      <c r="EB14" s="290"/>
      <c r="EC14" s="290"/>
      <c r="ED14" s="290"/>
      <c r="EE14" s="309"/>
      <c r="EF14" s="289">
        <f>вспомогательная!M150+вспомогательная!M172+вспомогательная!M190+вспомогательная!M208+вспомогательная!M209+вспомогательная!M252+вспомогательная!M270+вспомогательная!M288+вспомогательная!M289</f>
        <v>6000581</v>
      </c>
      <c r="EG14" s="290"/>
      <c r="EH14" s="290"/>
      <c r="EI14" s="290"/>
      <c r="EJ14" s="290"/>
      <c r="EK14" s="290"/>
      <c r="EL14" s="290"/>
      <c r="EM14" s="290"/>
      <c r="EN14" s="290"/>
      <c r="EO14" s="290"/>
      <c r="EP14" s="290"/>
      <c r="EQ14" s="290"/>
      <c r="ER14" s="309"/>
      <c r="ES14" s="289"/>
      <c r="ET14" s="290"/>
      <c r="EU14" s="290"/>
      <c r="EV14" s="290"/>
      <c r="EW14" s="290"/>
      <c r="EX14" s="290"/>
      <c r="EY14" s="290"/>
      <c r="EZ14" s="290"/>
      <c r="FA14" s="290"/>
      <c r="FB14" s="290"/>
      <c r="FC14" s="290"/>
      <c r="FD14" s="290"/>
      <c r="FE14" s="309"/>
      <c r="FH14" s="316"/>
    </row>
    <row r="15" ht="24" customHeight="1" spans="1:164">
      <c r="A15" s="191" t="s">
        <v>242</v>
      </c>
      <c r="B15" s="191"/>
      <c r="C15" s="191"/>
      <c r="D15" s="191"/>
      <c r="E15" s="191"/>
      <c r="F15" s="191"/>
      <c r="G15" s="191"/>
      <c r="H15" s="192"/>
      <c r="I15" s="224" t="s">
        <v>243</v>
      </c>
      <c r="J15" s="225"/>
      <c r="K15" s="225"/>
      <c r="L15" s="225"/>
      <c r="M15" s="225"/>
      <c r="N15" s="225"/>
      <c r="O15" s="225"/>
      <c r="P15" s="225"/>
      <c r="Q15" s="225"/>
      <c r="R15" s="225"/>
      <c r="S15" s="225"/>
      <c r="T15" s="225"/>
      <c r="U15" s="225"/>
      <c r="V15" s="225"/>
      <c r="W15" s="225"/>
      <c r="X15" s="225"/>
      <c r="Y15" s="225"/>
      <c r="Z15" s="225"/>
      <c r="AA15" s="225"/>
      <c r="AB15" s="225"/>
      <c r="AC15" s="225"/>
      <c r="AD15" s="225"/>
      <c r="AE15" s="225"/>
      <c r="AF15" s="225"/>
      <c r="AG15" s="225"/>
      <c r="AH15" s="225"/>
      <c r="AI15" s="225"/>
      <c r="AJ15" s="225"/>
      <c r="AK15" s="225"/>
      <c r="AL15" s="225"/>
      <c r="AM15" s="225"/>
      <c r="AN15" s="225"/>
      <c r="AO15" s="225"/>
      <c r="AP15" s="225"/>
      <c r="AQ15" s="225"/>
      <c r="AR15" s="225"/>
      <c r="AS15" s="225"/>
      <c r="AT15" s="225"/>
      <c r="AU15" s="225"/>
      <c r="AV15" s="225"/>
      <c r="AW15" s="225"/>
      <c r="AX15" s="225"/>
      <c r="AY15" s="225"/>
      <c r="AZ15" s="225"/>
      <c r="BA15" s="225"/>
      <c r="BB15" s="225"/>
      <c r="BC15" s="225"/>
      <c r="BD15" s="225"/>
      <c r="BE15" s="225"/>
      <c r="BF15" s="225"/>
      <c r="BG15" s="225"/>
      <c r="BH15" s="225"/>
      <c r="BI15" s="225"/>
      <c r="BJ15" s="225"/>
      <c r="BK15" s="225"/>
      <c r="BL15" s="225"/>
      <c r="BM15" s="225"/>
      <c r="BN15" s="225"/>
      <c r="BO15" s="225"/>
      <c r="BP15" s="225"/>
      <c r="BQ15" s="225"/>
      <c r="BR15" s="225"/>
      <c r="BS15" s="225"/>
      <c r="BT15" s="225"/>
      <c r="BU15" s="225"/>
      <c r="BV15" s="225"/>
      <c r="BW15" s="225"/>
      <c r="BX15" s="225"/>
      <c r="BY15" s="225"/>
      <c r="BZ15" s="225"/>
      <c r="CA15" s="225"/>
      <c r="CB15" s="225"/>
      <c r="CC15" s="225"/>
      <c r="CD15" s="225"/>
      <c r="CE15" s="225"/>
      <c r="CF15" s="225"/>
      <c r="CG15" s="225"/>
      <c r="CH15" s="225"/>
      <c r="CI15" s="225"/>
      <c r="CJ15" s="225"/>
      <c r="CK15" s="225"/>
      <c r="CL15" s="225"/>
      <c r="CM15" s="225"/>
      <c r="CN15" s="247" t="s">
        <v>244</v>
      </c>
      <c r="CO15" s="191"/>
      <c r="CP15" s="191"/>
      <c r="CQ15" s="191"/>
      <c r="CR15" s="191"/>
      <c r="CS15" s="191"/>
      <c r="CT15" s="191"/>
      <c r="CU15" s="192"/>
      <c r="CV15" s="268" t="s">
        <v>46</v>
      </c>
      <c r="CW15" s="191"/>
      <c r="CX15" s="191"/>
      <c r="CY15" s="191"/>
      <c r="CZ15" s="191"/>
      <c r="DA15" s="191"/>
      <c r="DB15" s="191"/>
      <c r="DC15" s="191"/>
      <c r="DD15" s="191"/>
      <c r="DE15" s="192"/>
      <c r="DF15" s="289">
        <f>DF16+DF17</f>
        <v>2268000</v>
      </c>
      <c r="DG15" s="290"/>
      <c r="DH15" s="290"/>
      <c r="DI15" s="290"/>
      <c r="DJ15" s="290"/>
      <c r="DK15" s="290"/>
      <c r="DL15" s="290"/>
      <c r="DM15" s="290"/>
      <c r="DN15" s="290"/>
      <c r="DO15" s="290"/>
      <c r="DP15" s="290"/>
      <c r="DQ15" s="290"/>
      <c r="DR15" s="309"/>
      <c r="DS15" s="289">
        <f>DS16+DS17</f>
        <v>1918000</v>
      </c>
      <c r="DT15" s="290"/>
      <c r="DU15" s="290"/>
      <c r="DV15" s="290"/>
      <c r="DW15" s="290"/>
      <c r="DX15" s="290"/>
      <c r="DY15" s="290"/>
      <c r="DZ15" s="290"/>
      <c r="EA15" s="290"/>
      <c r="EB15" s="290"/>
      <c r="EC15" s="290"/>
      <c r="ED15" s="290"/>
      <c r="EE15" s="309"/>
      <c r="EF15" s="289">
        <f>EF16+EF17</f>
        <v>1918000</v>
      </c>
      <c r="EG15" s="290"/>
      <c r="EH15" s="290"/>
      <c r="EI15" s="290"/>
      <c r="EJ15" s="290"/>
      <c r="EK15" s="290"/>
      <c r="EL15" s="290"/>
      <c r="EM15" s="290"/>
      <c r="EN15" s="290"/>
      <c r="EO15" s="290"/>
      <c r="EP15" s="290"/>
      <c r="EQ15" s="290"/>
      <c r="ER15" s="309"/>
      <c r="ES15" s="289">
        <f>ES16+ES17</f>
        <v>0</v>
      </c>
      <c r="ET15" s="290"/>
      <c r="EU15" s="290"/>
      <c r="EV15" s="290"/>
      <c r="EW15" s="290"/>
      <c r="EX15" s="290"/>
      <c r="EY15" s="290"/>
      <c r="EZ15" s="290"/>
      <c r="FA15" s="290"/>
      <c r="FB15" s="290"/>
      <c r="FC15" s="290"/>
      <c r="FD15" s="290"/>
      <c r="FE15" s="309"/>
      <c r="FH15" s="316"/>
    </row>
    <row r="16" s="176" customFormat="1" ht="24" customHeight="1" spans="1:164">
      <c r="A16" s="193" t="s">
        <v>245</v>
      </c>
      <c r="B16" s="193"/>
      <c r="C16" s="193"/>
      <c r="D16" s="193"/>
      <c r="E16" s="193"/>
      <c r="F16" s="193"/>
      <c r="G16" s="193"/>
      <c r="H16" s="194"/>
      <c r="I16" s="226" t="s">
        <v>237</v>
      </c>
      <c r="J16" s="227"/>
      <c r="K16" s="227"/>
      <c r="L16" s="227"/>
      <c r="M16" s="227"/>
      <c r="N16" s="227"/>
      <c r="O16" s="227"/>
      <c r="P16" s="227"/>
      <c r="Q16" s="227"/>
      <c r="R16" s="227"/>
      <c r="S16" s="227"/>
      <c r="T16" s="227"/>
      <c r="U16" s="227"/>
      <c r="V16" s="227"/>
      <c r="W16" s="227"/>
      <c r="X16" s="227"/>
      <c r="Y16" s="227"/>
      <c r="Z16" s="227"/>
      <c r="AA16" s="227"/>
      <c r="AB16" s="227"/>
      <c r="AC16" s="227"/>
      <c r="AD16" s="227"/>
      <c r="AE16" s="227"/>
      <c r="AF16" s="227"/>
      <c r="AG16" s="227"/>
      <c r="AH16" s="227"/>
      <c r="AI16" s="227"/>
      <c r="AJ16" s="227"/>
      <c r="AK16" s="227"/>
      <c r="AL16" s="227"/>
      <c r="AM16" s="227"/>
      <c r="AN16" s="227"/>
      <c r="AO16" s="227"/>
      <c r="AP16" s="227"/>
      <c r="AQ16" s="227"/>
      <c r="AR16" s="227"/>
      <c r="AS16" s="227"/>
      <c r="AT16" s="227"/>
      <c r="AU16" s="227"/>
      <c r="AV16" s="227"/>
      <c r="AW16" s="227"/>
      <c r="AX16" s="227"/>
      <c r="AY16" s="227"/>
      <c r="AZ16" s="227"/>
      <c r="BA16" s="227"/>
      <c r="BB16" s="227"/>
      <c r="BC16" s="227"/>
      <c r="BD16" s="227"/>
      <c r="BE16" s="227"/>
      <c r="BF16" s="227"/>
      <c r="BG16" s="227"/>
      <c r="BH16" s="227"/>
      <c r="BI16" s="227"/>
      <c r="BJ16" s="227"/>
      <c r="BK16" s="227"/>
      <c r="BL16" s="227"/>
      <c r="BM16" s="227"/>
      <c r="BN16" s="227"/>
      <c r="BO16" s="227"/>
      <c r="BP16" s="227"/>
      <c r="BQ16" s="227"/>
      <c r="BR16" s="227"/>
      <c r="BS16" s="227"/>
      <c r="BT16" s="227"/>
      <c r="BU16" s="227"/>
      <c r="BV16" s="227"/>
      <c r="BW16" s="227"/>
      <c r="BX16" s="227"/>
      <c r="BY16" s="227"/>
      <c r="BZ16" s="227"/>
      <c r="CA16" s="227"/>
      <c r="CB16" s="227"/>
      <c r="CC16" s="227"/>
      <c r="CD16" s="227"/>
      <c r="CE16" s="227"/>
      <c r="CF16" s="227"/>
      <c r="CG16" s="227"/>
      <c r="CH16" s="227"/>
      <c r="CI16" s="227"/>
      <c r="CJ16" s="227"/>
      <c r="CK16" s="227"/>
      <c r="CL16" s="227"/>
      <c r="CM16" s="227"/>
      <c r="CN16" s="248" t="s">
        <v>246</v>
      </c>
      <c r="CO16" s="193"/>
      <c r="CP16" s="193"/>
      <c r="CQ16" s="193"/>
      <c r="CR16" s="193"/>
      <c r="CS16" s="193"/>
      <c r="CT16" s="193"/>
      <c r="CU16" s="194"/>
      <c r="CV16" s="269" t="s">
        <v>46</v>
      </c>
      <c r="CW16" s="193"/>
      <c r="CX16" s="193"/>
      <c r="CY16" s="193"/>
      <c r="CZ16" s="193"/>
      <c r="DA16" s="193"/>
      <c r="DB16" s="193"/>
      <c r="DC16" s="193"/>
      <c r="DD16" s="193"/>
      <c r="DE16" s="194"/>
      <c r="DF16" s="291"/>
      <c r="DG16" s="292"/>
      <c r="DH16" s="292"/>
      <c r="DI16" s="292"/>
      <c r="DJ16" s="292"/>
      <c r="DK16" s="292"/>
      <c r="DL16" s="292"/>
      <c r="DM16" s="292"/>
      <c r="DN16" s="292"/>
      <c r="DO16" s="292"/>
      <c r="DP16" s="292"/>
      <c r="DQ16" s="292"/>
      <c r="DR16" s="310"/>
      <c r="DS16" s="291"/>
      <c r="DT16" s="292"/>
      <c r="DU16" s="292"/>
      <c r="DV16" s="292"/>
      <c r="DW16" s="292"/>
      <c r="DX16" s="292"/>
      <c r="DY16" s="292"/>
      <c r="DZ16" s="292"/>
      <c r="EA16" s="292"/>
      <c r="EB16" s="292"/>
      <c r="EC16" s="292"/>
      <c r="ED16" s="292"/>
      <c r="EE16" s="310"/>
      <c r="EF16" s="291"/>
      <c r="EG16" s="292"/>
      <c r="EH16" s="292"/>
      <c r="EI16" s="292"/>
      <c r="EJ16" s="292"/>
      <c r="EK16" s="292"/>
      <c r="EL16" s="292"/>
      <c r="EM16" s="292"/>
      <c r="EN16" s="292"/>
      <c r="EO16" s="292"/>
      <c r="EP16" s="292"/>
      <c r="EQ16" s="292"/>
      <c r="ER16" s="310"/>
      <c r="ES16" s="291"/>
      <c r="ET16" s="292"/>
      <c r="EU16" s="292"/>
      <c r="EV16" s="292"/>
      <c r="EW16" s="292"/>
      <c r="EX16" s="292"/>
      <c r="EY16" s="292"/>
      <c r="EZ16" s="292"/>
      <c r="FA16" s="292"/>
      <c r="FB16" s="292"/>
      <c r="FC16" s="292"/>
      <c r="FD16" s="292"/>
      <c r="FE16" s="310"/>
      <c r="FH16" s="318"/>
    </row>
    <row r="17" ht="12.75" customHeight="1" spans="1:164">
      <c r="A17" s="191" t="s">
        <v>247</v>
      </c>
      <c r="B17" s="191"/>
      <c r="C17" s="191"/>
      <c r="D17" s="191"/>
      <c r="E17" s="191"/>
      <c r="F17" s="191"/>
      <c r="G17" s="191"/>
      <c r="H17" s="192"/>
      <c r="I17" s="228" t="s">
        <v>240</v>
      </c>
      <c r="J17" s="229"/>
      <c r="K17" s="229"/>
      <c r="L17" s="229"/>
      <c r="M17" s="229"/>
      <c r="N17" s="229"/>
      <c r="O17" s="229"/>
      <c r="P17" s="229"/>
      <c r="Q17" s="229"/>
      <c r="R17" s="229"/>
      <c r="S17" s="229"/>
      <c r="T17" s="229"/>
      <c r="U17" s="229"/>
      <c r="V17" s="229"/>
      <c r="W17" s="229"/>
      <c r="X17" s="229"/>
      <c r="Y17" s="229"/>
      <c r="Z17" s="229"/>
      <c r="AA17" s="229"/>
      <c r="AB17" s="229"/>
      <c r="AC17" s="229"/>
      <c r="AD17" s="229"/>
      <c r="AE17" s="229"/>
      <c r="AF17" s="229"/>
      <c r="AG17" s="229"/>
      <c r="AH17" s="229"/>
      <c r="AI17" s="229"/>
      <c r="AJ17" s="229"/>
      <c r="AK17" s="229"/>
      <c r="AL17" s="229"/>
      <c r="AM17" s="229"/>
      <c r="AN17" s="229"/>
      <c r="AO17" s="229"/>
      <c r="AP17" s="229"/>
      <c r="AQ17" s="229"/>
      <c r="AR17" s="229"/>
      <c r="AS17" s="229"/>
      <c r="AT17" s="229"/>
      <c r="AU17" s="229"/>
      <c r="AV17" s="229"/>
      <c r="AW17" s="229"/>
      <c r="AX17" s="229"/>
      <c r="AY17" s="229"/>
      <c r="AZ17" s="229"/>
      <c r="BA17" s="229"/>
      <c r="BB17" s="229"/>
      <c r="BC17" s="229"/>
      <c r="BD17" s="229"/>
      <c r="BE17" s="229"/>
      <c r="BF17" s="229"/>
      <c r="BG17" s="229"/>
      <c r="BH17" s="229"/>
      <c r="BI17" s="229"/>
      <c r="BJ17" s="229"/>
      <c r="BK17" s="229"/>
      <c r="BL17" s="229"/>
      <c r="BM17" s="229"/>
      <c r="BN17" s="229"/>
      <c r="BO17" s="229"/>
      <c r="BP17" s="229"/>
      <c r="BQ17" s="229"/>
      <c r="BR17" s="229"/>
      <c r="BS17" s="229"/>
      <c r="BT17" s="229"/>
      <c r="BU17" s="229"/>
      <c r="BV17" s="229"/>
      <c r="BW17" s="229"/>
      <c r="BX17" s="229"/>
      <c r="BY17" s="229"/>
      <c r="BZ17" s="229"/>
      <c r="CA17" s="229"/>
      <c r="CB17" s="229"/>
      <c r="CC17" s="229"/>
      <c r="CD17" s="229"/>
      <c r="CE17" s="229"/>
      <c r="CF17" s="229"/>
      <c r="CG17" s="229"/>
      <c r="CH17" s="229"/>
      <c r="CI17" s="229"/>
      <c r="CJ17" s="229"/>
      <c r="CK17" s="229"/>
      <c r="CL17" s="229"/>
      <c r="CM17" s="229"/>
      <c r="CN17" s="247" t="s">
        <v>248</v>
      </c>
      <c r="CO17" s="191"/>
      <c r="CP17" s="191"/>
      <c r="CQ17" s="191"/>
      <c r="CR17" s="191"/>
      <c r="CS17" s="191"/>
      <c r="CT17" s="191"/>
      <c r="CU17" s="192"/>
      <c r="CV17" s="268" t="s">
        <v>46</v>
      </c>
      <c r="CW17" s="191"/>
      <c r="CX17" s="191"/>
      <c r="CY17" s="191"/>
      <c r="CZ17" s="191"/>
      <c r="DA17" s="191"/>
      <c r="DB17" s="191"/>
      <c r="DC17" s="191"/>
      <c r="DD17" s="191"/>
      <c r="DE17" s="192"/>
      <c r="DF17" s="289">
        <f>вспомогательная!K212+вспомогательная!K189</f>
        <v>2268000</v>
      </c>
      <c r="DG17" s="290"/>
      <c r="DH17" s="290"/>
      <c r="DI17" s="290"/>
      <c r="DJ17" s="290"/>
      <c r="DK17" s="290"/>
      <c r="DL17" s="290"/>
      <c r="DM17" s="290"/>
      <c r="DN17" s="290"/>
      <c r="DO17" s="290"/>
      <c r="DP17" s="290"/>
      <c r="DQ17" s="290"/>
      <c r="DR17" s="309"/>
      <c r="DS17" s="289">
        <f>вспомогательная!L212</f>
        <v>1918000</v>
      </c>
      <c r="DT17" s="290"/>
      <c r="DU17" s="290"/>
      <c r="DV17" s="290"/>
      <c r="DW17" s="290"/>
      <c r="DX17" s="290"/>
      <c r="DY17" s="290"/>
      <c r="DZ17" s="290"/>
      <c r="EA17" s="290"/>
      <c r="EB17" s="290"/>
      <c r="EC17" s="290"/>
      <c r="ED17" s="290"/>
      <c r="EE17" s="309"/>
      <c r="EF17" s="289">
        <f>вспомогательная!M212</f>
        <v>1918000</v>
      </c>
      <c r="EG17" s="290"/>
      <c r="EH17" s="290"/>
      <c r="EI17" s="290"/>
      <c r="EJ17" s="290"/>
      <c r="EK17" s="290"/>
      <c r="EL17" s="290"/>
      <c r="EM17" s="290"/>
      <c r="EN17" s="290"/>
      <c r="EO17" s="290"/>
      <c r="EP17" s="290"/>
      <c r="EQ17" s="290"/>
      <c r="ER17" s="309"/>
      <c r="ES17" s="289"/>
      <c r="ET17" s="290"/>
      <c r="EU17" s="290"/>
      <c r="EV17" s="290"/>
      <c r="EW17" s="290"/>
      <c r="EX17" s="290"/>
      <c r="EY17" s="290"/>
      <c r="EZ17" s="290"/>
      <c r="FA17" s="290"/>
      <c r="FB17" s="290"/>
      <c r="FC17" s="290"/>
      <c r="FD17" s="290"/>
      <c r="FE17" s="309"/>
      <c r="FH17" s="316"/>
    </row>
    <row r="18" ht="12.75" customHeight="1" spans="1:164">
      <c r="A18" s="191" t="s">
        <v>249</v>
      </c>
      <c r="B18" s="191"/>
      <c r="C18" s="191"/>
      <c r="D18" s="191"/>
      <c r="E18" s="191"/>
      <c r="F18" s="191"/>
      <c r="G18" s="191"/>
      <c r="H18" s="192"/>
      <c r="I18" s="224" t="s">
        <v>250</v>
      </c>
      <c r="J18" s="225"/>
      <c r="K18" s="225"/>
      <c r="L18" s="225"/>
      <c r="M18" s="225"/>
      <c r="N18" s="225"/>
      <c r="O18" s="225"/>
      <c r="P18" s="225"/>
      <c r="Q18" s="225"/>
      <c r="R18" s="225"/>
      <c r="S18" s="225"/>
      <c r="T18" s="225"/>
      <c r="U18" s="225"/>
      <c r="V18" s="225"/>
      <c r="W18" s="225"/>
      <c r="X18" s="225"/>
      <c r="Y18" s="225"/>
      <c r="Z18" s="225"/>
      <c r="AA18" s="225"/>
      <c r="AB18" s="225"/>
      <c r="AC18" s="225"/>
      <c r="AD18" s="225"/>
      <c r="AE18" s="225"/>
      <c r="AF18" s="225"/>
      <c r="AG18" s="225"/>
      <c r="AH18" s="225"/>
      <c r="AI18" s="225"/>
      <c r="AJ18" s="225"/>
      <c r="AK18" s="225"/>
      <c r="AL18" s="225"/>
      <c r="AM18" s="225"/>
      <c r="AN18" s="225"/>
      <c r="AO18" s="225"/>
      <c r="AP18" s="225"/>
      <c r="AQ18" s="225"/>
      <c r="AR18" s="225"/>
      <c r="AS18" s="225"/>
      <c r="AT18" s="225"/>
      <c r="AU18" s="225"/>
      <c r="AV18" s="225"/>
      <c r="AW18" s="225"/>
      <c r="AX18" s="225"/>
      <c r="AY18" s="225"/>
      <c r="AZ18" s="225"/>
      <c r="BA18" s="225"/>
      <c r="BB18" s="225"/>
      <c r="BC18" s="225"/>
      <c r="BD18" s="225"/>
      <c r="BE18" s="225"/>
      <c r="BF18" s="225"/>
      <c r="BG18" s="225"/>
      <c r="BH18" s="225"/>
      <c r="BI18" s="225"/>
      <c r="BJ18" s="225"/>
      <c r="BK18" s="225"/>
      <c r="BL18" s="225"/>
      <c r="BM18" s="225"/>
      <c r="BN18" s="225"/>
      <c r="BO18" s="225"/>
      <c r="BP18" s="225"/>
      <c r="BQ18" s="225"/>
      <c r="BR18" s="225"/>
      <c r="BS18" s="225"/>
      <c r="BT18" s="225"/>
      <c r="BU18" s="225"/>
      <c r="BV18" s="225"/>
      <c r="BW18" s="225"/>
      <c r="BX18" s="225"/>
      <c r="BY18" s="225"/>
      <c r="BZ18" s="225"/>
      <c r="CA18" s="225"/>
      <c r="CB18" s="225"/>
      <c r="CC18" s="225"/>
      <c r="CD18" s="225"/>
      <c r="CE18" s="225"/>
      <c r="CF18" s="225"/>
      <c r="CG18" s="225"/>
      <c r="CH18" s="225"/>
      <c r="CI18" s="225"/>
      <c r="CJ18" s="225"/>
      <c r="CK18" s="225"/>
      <c r="CL18" s="225"/>
      <c r="CM18" s="225"/>
      <c r="CN18" s="247" t="s">
        <v>251</v>
      </c>
      <c r="CO18" s="191"/>
      <c r="CP18" s="191"/>
      <c r="CQ18" s="191"/>
      <c r="CR18" s="191"/>
      <c r="CS18" s="191"/>
      <c r="CT18" s="191"/>
      <c r="CU18" s="192"/>
      <c r="CV18" s="268" t="s">
        <v>46</v>
      </c>
      <c r="CW18" s="191"/>
      <c r="CX18" s="191"/>
      <c r="CY18" s="191"/>
      <c r="CZ18" s="191"/>
      <c r="DA18" s="191"/>
      <c r="DB18" s="191"/>
      <c r="DC18" s="191"/>
      <c r="DD18" s="191"/>
      <c r="DE18" s="192"/>
      <c r="DF18" s="289"/>
      <c r="DG18" s="290"/>
      <c r="DH18" s="290"/>
      <c r="DI18" s="290"/>
      <c r="DJ18" s="290"/>
      <c r="DK18" s="290"/>
      <c r="DL18" s="290"/>
      <c r="DM18" s="290"/>
      <c r="DN18" s="290"/>
      <c r="DO18" s="290"/>
      <c r="DP18" s="290"/>
      <c r="DQ18" s="290"/>
      <c r="DR18" s="309"/>
      <c r="DS18" s="289"/>
      <c r="DT18" s="290"/>
      <c r="DU18" s="290"/>
      <c r="DV18" s="290"/>
      <c r="DW18" s="290"/>
      <c r="DX18" s="290"/>
      <c r="DY18" s="290"/>
      <c r="DZ18" s="290"/>
      <c r="EA18" s="290"/>
      <c r="EB18" s="290"/>
      <c r="EC18" s="290"/>
      <c r="ED18" s="290"/>
      <c r="EE18" s="309"/>
      <c r="EF18" s="289"/>
      <c r="EG18" s="290"/>
      <c r="EH18" s="290"/>
      <c r="EI18" s="290"/>
      <c r="EJ18" s="290"/>
      <c r="EK18" s="290"/>
      <c r="EL18" s="290"/>
      <c r="EM18" s="290"/>
      <c r="EN18" s="290"/>
      <c r="EO18" s="290"/>
      <c r="EP18" s="290"/>
      <c r="EQ18" s="290"/>
      <c r="ER18" s="309"/>
      <c r="ES18" s="289"/>
      <c r="ET18" s="290"/>
      <c r="EU18" s="290"/>
      <c r="EV18" s="290"/>
      <c r="EW18" s="290"/>
      <c r="EX18" s="290"/>
      <c r="EY18" s="290"/>
      <c r="EZ18" s="290"/>
      <c r="FA18" s="290"/>
      <c r="FB18" s="290"/>
      <c r="FC18" s="290"/>
      <c r="FD18" s="290"/>
      <c r="FE18" s="309"/>
      <c r="FH18" s="316"/>
    </row>
    <row r="19" ht="12" spans="1:164">
      <c r="A19" s="191" t="s">
        <v>252</v>
      </c>
      <c r="B19" s="191"/>
      <c r="C19" s="191"/>
      <c r="D19" s="191"/>
      <c r="E19" s="191"/>
      <c r="F19" s="191"/>
      <c r="G19" s="191"/>
      <c r="H19" s="192"/>
      <c r="I19" s="224" t="s">
        <v>253</v>
      </c>
      <c r="J19" s="225"/>
      <c r="K19" s="225"/>
      <c r="L19" s="225"/>
      <c r="M19" s="225"/>
      <c r="N19" s="225"/>
      <c r="O19" s="225"/>
      <c r="P19" s="225"/>
      <c r="Q19" s="225"/>
      <c r="R19" s="225"/>
      <c r="S19" s="225"/>
      <c r="T19" s="225"/>
      <c r="U19" s="225"/>
      <c r="V19" s="225"/>
      <c r="W19" s="225"/>
      <c r="X19" s="225"/>
      <c r="Y19" s="225"/>
      <c r="Z19" s="225"/>
      <c r="AA19" s="225"/>
      <c r="AB19" s="225"/>
      <c r="AC19" s="225"/>
      <c r="AD19" s="225"/>
      <c r="AE19" s="225"/>
      <c r="AF19" s="225"/>
      <c r="AG19" s="225"/>
      <c r="AH19" s="225"/>
      <c r="AI19" s="225"/>
      <c r="AJ19" s="225"/>
      <c r="AK19" s="225"/>
      <c r="AL19" s="225"/>
      <c r="AM19" s="225"/>
      <c r="AN19" s="225"/>
      <c r="AO19" s="225"/>
      <c r="AP19" s="225"/>
      <c r="AQ19" s="225"/>
      <c r="AR19" s="225"/>
      <c r="AS19" s="225"/>
      <c r="AT19" s="225"/>
      <c r="AU19" s="225"/>
      <c r="AV19" s="225"/>
      <c r="AW19" s="225"/>
      <c r="AX19" s="225"/>
      <c r="AY19" s="225"/>
      <c r="AZ19" s="225"/>
      <c r="BA19" s="225"/>
      <c r="BB19" s="225"/>
      <c r="BC19" s="225"/>
      <c r="BD19" s="225"/>
      <c r="BE19" s="225"/>
      <c r="BF19" s="225"/>
      <c r="BG19" s="225"/>
      <c r="BH19" s="225"/>
      <c r="BI19" s="225"/>
      <c r="BJ19" s="225"/>
      <c r="BK19" s="225"/>
      <c r="BL19" s="225"/>
      <c r="BM19" s="225"/>
      <c r="BN19" s="225"/>
      <c r="BO19" s="225"/>
      <c r="BP19" s="225"/>
      <c r="BQ19" s="225"/>
      <c r="BR19" s="225"/>
      <c r="BS19" s="225"/>
      <c r="BT19" s="225"/>
      <c r="BU19" s="225"/>
      <c r="BV19" s="225"/>
      <c r="BW19" s="225"/>
      <c r="BX19" s="225"/>
      <c r="BY19" s="225"/>
      <c r="BZ19" s="225"/>
      <c r="CA19" s="225"/>
      <c r="CB19" s="225"/>
      <c r="CC19" s="225"/>
      <c r="CD19" s="225"/>
      <c r="CE19" s="225"/>
      <c r="CF19" s="225"/>
      <c r="CG19" s="225"/>
      <c r="CH19" s="225"/>
      <c r="CI19" s="225"/>
      <c r="CJ19" s="225"/>
      <c r="CK19" s="225"/>
      <c r="CL19" s="225"/>
      <c r="CM19" s="225"/>
      <c r="CN19" s="249" t="s">
        <v>254</v>
      </c>
      <c r="CO19" s="250"/>
      <c r="CP19" s="250"/>
      <c r="CQ19" s="250"/>
      <c r="CR19" s="250"/>
      <c r="CS19" s="250"/>
      <c r="CT19" s="250"/>
      <c r="CU19" s="270"/>
      <c r="CV19" s="271" t="s">
        <v>46</v>
      </c>
      <c r="CW19" s="250"/>
      <c r="CX19" s="250"/>
      <c r="CY19" s="250"/>
      <c r="CZ19" s="250"/>
      <c r="DA19" s="250"/>
      <c r="DB19" s="250"/>
      <c r="DC19" s="250"/>
      <c r="DD19" s="250"/>
      <c r="DE19" s="270"/>
      <c r="DF19" s="293">
        <f>DF20+DF21</f>
        <v>2265773.88</v>
      </c>
      <c r="DG19" s="294"/>
      <c r="DH19" s="294"/>
      <c r="DI19" s="294"/>
      <c r="DJ19" s="294"/>
      <c r="DK19" s="294"/>
      <c r="DL19" s="294"/>
      <c r="DM19" s="294"/>
      <c r="DN19" s="294"/>
      <c r="DO19" s="294"/>
      <c r="DP19" s="294"/>
      <c r="DQ19" s="294"/>
      <c r="DR19" s="311"/>
      <c r="DS19" s="293">
        <f>DS20+DS21</f>
        <v>2265773.88</v>
      </c>
      <c r="DT19" s="294"/>
      <c r="DU19" s="294"/>
      <c r="DV19" s="294"/>
      <c r="DW19" s="294"/>
      <c r="DX19" s="294"/>
      <c r="DY19" s="294"/>
      <c r="DZ19" s="294"/>
      <c r="EA19" s="294"/>
      <c r="EB19" s="294"/>
      <c r="EC19" s="294"/>
      <c r="ED19" s="294"/>
      <c r="EE19" s="311"/>
      <c r="EF19" s="293">
        <f>EF20+EF21</f>
        <v>2265773.88</v>
      </c>
      <c r="EG19" s="294"/>
      <c r="EH19" s="294"/>
      <c r="EI19" s="294"/>
      <c r="EJ19" s="294"/>
      <c r="EK19" s="294"/>
      <c r="EL19" s="294"/>
      <c r="EM19" s="294"/>
      <c r="EN19" s="294"/>
      <c r="EO19" s="294"/>
      <c r="EP19" s="294"/>
      <c r="EQ19" s="294"/>
      <c r="ER19" s="311"/>
      <c r="ES19" s="293">
        <f>ES20+ES21</f>
        <v>0</v>
      </c>
      <c r="ET19" s="294"/>
      <c r="EU19" s="294"/>
      <c r="EV19" s="294"/>
      <c r="EW19" s="294"/>
      <c r="EX19" s="294"/>
      <c r="EY19" s="294"/>
      <c r="EZ19" s="294"/>
      <c r="FA19" s="294"/>
      <c r="FB19" s="294"/>
      <c r="FC19" s="294"/>
      <c r="FD19" s="294"/>
      <c r="FE19" s="311"/>
      <c r="FH19" s="316"/>
    </row>
    <row r="20" s="176" customFormat="1" ht="24" customHeight="1" spans="1:164">
      <c r="A20" s="193" t="s">
        <v>255</v>
      </c>
      <c r="B20" s="193"/>
      <c r="C20" s="193"/>
      <c r="D20" s="193"/>
      <c r="E20" s="193"/>
      <c r="F20" s="193"/>
      <c r="G20" s="193"/>
      <c r="H20" s="194"/>
      <c r="I20" s="226" t="s">
        <v>237</v>
      </c>
      <c r="J20" s="227"/>
      <c r="K20" s="227"/>
      <c r="L20" s="227"/>
      <c r="M20" s="227"/>
      <c r="N20" s="227"/>
      <c r="O20" s="227"/>
      <c r="P20" s="227"/>
      <c r="Q20" s="227"/>
      <c r="R20" s="227"/>
      <c r="S20" s="227"/>
      <c r="T20" s="227"/>
      <c r="U20" s="227"/>
      <c r="V20" s="227"/>
      <c r="W20" s="227"/>
      <c r="X20" s="227"/>
      <c r="Y20" s="227"/>
      <c r="Z20" s="227"/>
      <c r="AA20" s="227"/>
      <c r="AB20" s="227"/>
      <c r="AC20" s="227"/>
      <c r="AD20" s="227"/>
      <c r="AE20" s="227"/>
      <c r="AF20" s="227"/>
      <c r="AG20" s="227"/>
      <c r="AH20" s="227"/>
      <c r="AI20" s="227"/>
      <c r="AJ20" s="227"/>
      <c r="AK20" s="227"/>
      <c r="AL20" s="227"/>
      <c r="AM20" s="227"/>
      <c r="AN20" s="227"/>
      <c r="AO20" s="227"/>
      <c r="AP20" s="227"/>
      <c r="AQ20" s="227"/>
      <c r="AR20" s="227"/>
      <c r="AS20" s="227"/>
      <c r="AT20" s="227"/>
      <c r="AU20" s="227"/>
      <c r="AV20" s="227"/>
      <c r="AW20" s="227"/>
      <c r="AX20" s="227"/>
      <c r="AY20" s="227"/>
      <c r="AZ20" s="227"/>
      <c r="BA20" s="227"/>
      <c r="BB20" s="227"/>
      <c r="BC20" s="227"/>
      <c r="BD20" s="227"/>
      <c r="BE20" s="227"/>
      <c r="BF20" s="227"/>
      <c r="BG20" s="227"/>
      <c r="BH20" s="227"/>
      <c r="BI20" s="227"/>
      <c r="BJ20" s="227"/>
      <c r="BK20" s="227"/>
      <c r="BL20" s="227"/>
      <c r="BM20" s="227"/>
      <c r="BN20" s="227"/>
      <c r="BO20" s="227"/>
      <c r="BP20" s="227"/>
      <c r="BQ20" s="227"/>
      <c r="BR20" s="227"/>
      <c r="BS20" s="227"/>
      <c r="BT20" s="227"/>
      <c r="BU20" s="227"/>
      <c r="BV20" s="227"/>
      <c r="BW20" s="227"/>
      <c r="BX20" s="227"/>
      <c r="BY20" s="227"/>
      <c r="BZ20" s="227"/>
      <c r="CA20" s="227"/>
      <c r="CB20" s="227"/>
      <c r="CC20" s="227"/>
      <c r="CD20" s="227"/>
      <c r="CE20" s="227"/>
      <c r="CF20" s="227"/>
      <c r="CG20" s="227"/>
      <c r="CH20" s="227"/>
      <c r="CI20" s="227"/>
      <c r="CJ20" s="227"/>
      <c r="CK20" s="227"/>
      <c r="CL20" s="227"/>
      <c r="CM20" s="227"/>
      <c r="CN20" s="251" t="s">
        <v>256</v>
      </c>
      <c r="CO20" s="252"/>
      <c r="CP20" s="252"/>
      <c r="CQ20" s="252"/>
      <c r="CR20" s="252"/>
      <c r="CS20" s="252"/>
      <c r="CT20" s="252"/>
      <c r="CU20" s="272"/>
      <c r="CV20" s="273" t="s">
        <v>46</v>
      </c>
      <c r="CW20" s="252"/>
      <c r="CX20" s="252"/>
      <c r="CY20" s="252"/>
      <c r="CZ20" s="252"/>
      <c r="DA20" s="252"/>
      <c r="DB20" s="252"/>
      <c r="DC20" s="252"/>
      <c r="DD20" s="252"/>
      <c r="DE20" s="272"/>
      <c r="DF20" s="295"/>
      <c r="DG20" s="296"/>
      <c r="DH20" s="296"/>
      <c r="DI20" s="296"/>
      <c r="DJ20" s="296"/>
      <c r="DK20" s="296"/>
      <c r="DL20" s="296"/>
      <c r="DM20" s="296"/>
      <c r="DN20" s="296"/>
      <c r="DO20" s="296"/>
      <c r="DP20" s="296"/>
      <c r="DQ20" s="296"/>
      <c r="DR20" s="312"/>
      <c r="DS20" s="295"/>
      <c r="DT20" s="296"/>
      <c r="DU20" s="296"/>
      <c r="DV20" s="296"/>
      <c r="DW20" s="296"/>
      <c r="DX20" s="296"/>
      <c r="DY20" s="296"/>
      <c r="DZ20" s="296"/>
      <c r="EA20" s="296"/>
      <c r="EB20" s="296"/>
      <c r="EC20" s="296"/>
      <c r="ED20" s="296"/>
      <c r="EE20" s="312"/>
      <c r="EF20" s="295"/>
      <c r="EG20" s="296"/>
      <c r="EH20" s="296"/>
      <c r="EI20" s="296"/>
      <c r="EJ20" s="296"/>
      <c r="EK20" s="296"/>
      <c r="EL20" s="296"/>
      <c r="EM20" s="296"/>
      <c r="EN20" s="296"/>
      <c r="EO20" s="296"/>
      <c r="EP20" s="296"/>
      <c r="EQ20" s="296"/>
      <c r="ER20" s="312"/>
      <c r="ES20" s="295"/>
      <c r="ET20" s="296"/>
      <c r="EU20" s="296"/>
      <c r="EV20" s="296"/>
      <c r="EW20" s="296"/>
      <c r="EX20" s="296"/>
      <c r="EY20" s="296"/>
      <c r="EZ20" s="296"/>
      <c r="FA20" s="296"/>
      <c r="FB20" s="296"/>
      <c r="FC20" s="296"/>
      <c r="FD20" s="296"/>
      <c r="FE20" s="319"/>
      <c r="FH20" s="318"/>
    </row>
    <row r="21" spans="1:164">
      <c r="A21" s="191" t="s">
        <v>257</v>
      </c>
      <c r="B21" s="191"/>
      <c r="C21" s="191"/>
      <c r="D21" s="191"/>
      <c r="E21" s="191"/>
      <c r="F21" s="191"/>
      <c r="G21" s="191"/>
      <c r="H21" s="192"/>
      <c r="I21" s="228" t="s">
        <v>258</v>
      </c>
      <c r="J21" s="229"/>
      <c r="K21" s="229"/>
      <c r="L21" s="229"/>
      <c r="M21" s="229"/>
      <c r="N21" s="229"/>
      <c r="O21" s="229"/>
      <c r="P21" s="229"/>
      <c r="Q21" s="229"/>
      <c r="R21" s="229"/>
      <c r="S21" s="229"/>
      <c r="T21" s="229"/>
      <c r="U21" s="229"/>
      <c r="V21" s="229"/>
      <c r="W21" s="229"/>
      <c r="X21" s="229"/>
      <c r="Y21" s="229"/>
      <c r="Z21" s="229"/>
      <c r="AA21" s="229"/>
      <c r="AB21" s="229"/>
      <c r="AC21" s="229"/>
      <c r="AD21" s="229"/>
      <c r="AE21" s="229"/>
      <c r="AF21" s="229"/>
      <c r="AG21" s="229"/>
      <c r="AH21" s="229"/>
      <c r="AI21" s="229"/>
      <c r="AJ21" s="229"/>
      <c r="AK21" s="229"/>
      <c r="AL21" s="229"/>
      <c r="AM21" s="229"/>
      <c r="AN21" s="229"/>
      <c r="AO21" s="229"/>
      <c r="AP21" s="229"/>
      <c r="AQ21" s="229"/>
      <c r="AR21" s="229"/>
      <c r="AS21" s="229"/>
      <c r="AT21" s="229"/>
      <c r="AU21" s="229"/>
      <c r="AV21" s="229"/>
      <c r="AW21" s="229"/>
      <c r="AX21" s="229"/>
      <c r="AY21" s="229"/>
      <c r="AZ21" s="229"/>
      <c r="BA21" s="229"/>
      <c r="BB21" s="229"/>
      <c r="BC21" s="229"/>
      <c r="BD21" s="229"/>
      <c r="BE21" s="229"/>
      <c r="BF21" s="229"/>
      <c r="BG21" s="229"/>
      <c r="BH21" s="229"/>
      <c r="BI21" s="229"/>
      <c r="BJ21" s="229"/>
      <c r="BK21" s="229"/>
      <c r="BL21" s="229"/>
      <c r="BM21" s="229"/>
      <c r="BN21" s="229"/>
      <c r="BO21" s="229"/>
      <c r="BP21" s="229"/>
      <c r="BQ21" s="229"/>
      <c r="BR21" s="229"/>
      <c r="BS21" s="229"/>
      <c r="BT21" s="229"/>
      <c r="BU21" s="229"/>
      <c r="BV21" s="229"/>
      <c r="BW21" s="229"/>
      <c r="BX21" s="229"/>
      <c r="BY21" s="229"/>
      <c r="BZ21" s="229"/>
      <c r="CA21" s="229"/>
      <c r="CB21" s="229"/>
      <c r="CC21" s="229"/>
      <c r="CD21" s="229"/>
      <c r="CE21" s="229"/>
      <c r="CF21" s="229"/>
      <c r="CG21" s="229"/>
      <c r="CH21" s="229"/>
      <c r="CI21" s="229"/>
      <c r="CJ21" s="229"/>
      <c r="CK21" s="229"/>
      <c r="CL21" s="229"/>
      <c r="CM21" s="229"/>
      <c r="CN21" s="247" t="s">
        <v>259</v>
      </c>
      <c r="CO21" s="191"/>
      <c r="CP21" s="191"/>
      <c r="CQ21" s="191"/>
      <c r="CR21" s="191"/>
      <c r="CS21" s="191"/>
      <c r="CT21" s="191"/>
      <c r="CU21" s="192"/>
      <c r="CV21" s="268" t="s">
        <v>46</v>
      </c>
      <c r="CW21" s="191"/>
      <c r="CX21" s="191"/>
      <c r="CY21" s="191"/>
      <c r="CZ21" s="191"/>
      <c r="DA21" s="191"/>
      <c r="DB21" s="191"/>
      <c r="DC21" s="191"/>
      <c r="DD21" s="191"/>
      <c r="DE21" s="192"/>
      <c r="DF21" s="289">
        <f>вспомогательная!K148+вспомогательная!K170+вспомогательная!K188+вспомогательная!K206+вспомогательная!K227+вспомогательная!K246+вспомогательная!K250+вспомогательная!K268+вспомогательная!K286</f>
        <v>2265773.88</v>
      </c>
      <c r="DG21" s="290"/>
      <c r="DH21" s="290"/>
      <c r="DI21" s="290"/>
      <c r="DJ21" s="290"/>
      <c r="DK21" s="290"/>
      <c r="DL21" s="290"/>
      <c r="DM21" s="290"/>
      <c r="DN21" s="290"/>
      <c r="DO21" s="290"/>
      <c r="DP21" s="290"/>
      <c r="DQ21" s="290"/>
      <c r="DR21" s="309"/>
      <c r="DS21" s="289">
        <f>вспомогательная!L148+вспомогательная!L170+вспомогательная!L188+вспомогательная!L206+вспомогательная!L227+вспомогательная!L246+вспомогательная!L250+вспомогательная!L268+вспомогательная!L286</f>
        <v>2265773.88</v>
      </c>
      <c r="DT21" s="290"/>
      <c r="DU21" s="290"/>
      <c r="DV21" s="290"/>
      <c r="DW21" s="290"/>
      <c r="DX21" s="290"/>
      <c r="DY21" s="290"/>
      <c r="DZ21" s="290"/>
      <c r="EA21" s="290"/>
      <c r="EB21" s="290"/>
      <c r="EC21" s="290"/>
      <c r="ED21" s="290"/>
      <c r="EE21" s="309"/>
      <c r="EF21" s="289">
        <f>вспомогательная!M148+вспомогательная!M170+вспомогательная!M188+вспомогательная!M206+вспомогательная!M227+вспомогательная!M246+вспомогательная!M250+вспомогательная!M268+вспомогательная!M286</f>
        <v>2265773.88</v>
      </c>
      <c r="EG21" s="290"/>
      <c r="EH21" s="290"/>
      <c r="EI21" s="290"/>
      <c r="EJ21" s="290"/>
      <c r="EK21" s="290"/>
      <c r="EL21" s="290"/>
      <c r="EM21" s="290"/>
      <c r="EN21" s="290"/>
      <c r="EO21" s="290"/>
      <c r="EP21" s="290"/>
      <c r="EQ21" s="290"/>
      <c r="ER21" s="309"/>
      <c r="ES21" s="289"/>
      <c r="ET21" s="290"/>
      <c r="EU21" s="290"/>
      <c r="EV21" s="290"/>
      <c r="EW21" s="290"/>
      <c r="EX21" s="290"/>
      <c r="EY21" s="290"/>
      <c r="EZ21" s="290"/>
      <c r="FA21" s="290"/>
      <c r="FB21" s="290"/>
      <c r="FC21" s="290"/>
      <c r="FD21" s="290"/>
      <c r="FE21" s="320"/>
      <c r="FH21" s="316"/>
    </row>
    <row r="22" ht="24" customHeight="1" spans="1:161">
      <c r="A22" s="191" t="s">
        <v>37</v>
      </c>
      <c r="B22" s="191"/>
      <c r="C22" s="191"/>
      <c r="D22" s="191"/>
      <c r="E22" s="191"/>
      <c r="F22" s="191"/>
      <c r="G22" s="191"/>
      <c r="H22" s="192"/>
      <c r="I22" s="230" t="s">
        <v>260</v>
      </c>
      <c r="J22" s="231"/>
      <c r="K22" s="231"/>
      <c r="L22" s="231"/>
      <c r="M22" s="231"/>
      <c r="N22" s="231"/>
      <c r="O22" s="231"/>
      <c r="P22" s="231"/>
      <c r="Q22" s="231"/>
      <c r="R22" s="231"/>
      <c r="S22" s="231"/>
      <c r="T22" s="231"/>
      <c r="U22" s="231"/>
      <c r="V22" s="231"/>
      <c r="W22" s="231"/>
      <c r="X22" s="231"/>
      <c r="Y22" s="231"/>
      <c r="Z22" s="231"/>
      <c r="AA22" s="231"/>
      <c r="AB22" s="231"/>
      <c r="AC22" s="231"/>
      <c r="AD22" s="231"/>
      <c r="AE22" s="231"/>
      <c r="AF22" s="231"/>
      <c r="AG22" s="231"/>
      <c r="AH22" s="231"/>
      <c r="AI22" s="231"/>
      <c r="AJ22" s="231"/>
      <c r="AK22" s="231"/>
      <c r="AL22" s="231"/>
      <c r="AM22" s="231"/>
      <c r="AN22" s="231"/>
      <c r="AO22" s="231"/>
      <c r="AP22" s="231"/>
      <c r="AQ22" s="231"/>
      <c r="AR22" s="231"/>
      <c r="AS22" s="231"/>
      <c r="AT22" s="231"/>
      <c r="AU22" s="231"/>
      <c r="AV22" s="231"/>
      <c r="AW22" s="231"/>
      <c r="AX22" s="231"/>
      <c r="AY22" s="231"/>
      <c r="AZ22" s="231"/>
      <c r="BA22" s="231"/>
      <c r="BB22" s="231"/>
      <c r="BC22" s="231"/>
      <c r="BD22" s="231"/>
      <c r="BE22" s="231"/>
      <c r="BF22" s="231"/>
      <c r="BG22" s="231"/>
      <c r="BH22" s="231"/>
      <c r="BI22" s="231"/>
      <c r="BJ22" s="231"/>
      <c r="BK22" s="231"/>
      <c r="BL22" s="231"/>
      <c r="BM22" s="231"/>
      <c r="BN22" s="231"/>
      <c r="BO22" s="231"/>
      <c r="BP22" s="231"/>
      <c r="BQ22" s="231"/>
      <c r="BR22" s="231"/>
      <c r="BS22" s="231"/>
      <c r="BT22" s="231"/>
      <c r="BU22" s="231"/>
      <c r="BV22" s="231"/>
      <c r="BW22" s="231"/>
      <c r="BX22" s="231"/>
      <c r="BY22" s="231"/>
      <c r="BZ22" s="231"/>
      <c r="CA22" s="231"/>
      <c r="CB22" s="231"/>
      <c r="CC22" s="231"/>
      <c r="CD22" s="231"/>
      <c r="CE22" s="231"/>
      <c r="CF22" s="231"/>
      <c r="CG22" s="231"/>
      <c r="CH22" s="231"/>
      <c r="CI22" s="231"/>
      <c r="CJ22" s="231"/>
      <c r="CK22" s="231"/>
      <c r="CL22" s="231"/>
      <c r="CM22" s="231"/>
      <c r="CN22" s="247" t="s">
        <v>261</v>
      </c>
      <c r="CO22" s="191"/>
      <c r="CP22" s="191"/>
      <c r="CQ22" s="191"/>
      <c r="CR22" s="191"/>
      <c r="CS22" s="191"/>
      <c r="CT22" s="191"/>
      <c r="CU22" s="192"/>
      <c r="CV22" s="268" t="s">
        <v>46</v>
      </c>
      <c r="CW22" s="191"/>
      <c r="CX22" s="191"/>
      <c r="CY22" s="191"/>
      <c r="CZ22" s="191"/>
      <c r="DA22" s="191"/>
      <c r="DB22" s="191"/>
      <c r="DC22" s="191"/>
      <c r="DD22" s="191"/>
      <c r="DE22" s="192"/>
      <c r="DF22" s="287"/>
      <c r="DG22" s="288"/>
      <c r="DH22" s="288"/>
      <c r="DI22" s="288"/>
      <c r="DJ22" s="288"/>
      <c r="DK22" s="288"/>
      <c r="DL22" s="288"/>
      <c r="DM22" s="288"/>
      <c r="DN22" s="288"/>
      <c r="DO22" s="288"/>
      <c r="DP22" s="288"/>
      <c r="DQ22" s="288"/>
      <c r="DR22" s="308"/>
      <c r="DS22" s="287"/>
      <c r="DT22" s="288"/>
      <c r="DU22" s="288"/>
      <c r="DV22" s="288"/>
      <c r="DW22" s="288"/>
      <c r="DX22" s="288"/>
      <c r="DY22" s="288"/>
      <c r="DZ22" s="288"/>
      <c r="EA22" s="288"/>
      <c r="EB22" s="288"/>
      <c r="EC22" s="288"/>
      <c r="ED22" s="288"/>
      <c r="EE22" s="308"/>
      <c r="EF22" s="287"/>
      <c r="EG22" s="288"/>
      <c r="EH22" s="288"/>
      <c r="EI22" s="288"/>
      <c r="EJ22" s="288"/>
      <c r="EK22" s="288"/>
      <c r="EL22" s="288"/>
      <c r="EM22" s="288"/>
      <c r="EN22" s="288"/>
      <c r="EO22" s="288"/>
      <c r="EP22" s="288"/>
      <c r="EQ22" s="288"/>
      <c r="ER22" s="308"/>
      <c r="ES22" s="287">
        <f>ES23+ES25+ES26</f>
        <v>0</v>
      </c>
      <c r="ET22" s="288"/>
      <c r="EU22" s="288"/>
      <c r="EV22" s="288"/>
      <c r="EW22" s="288"/>
      <c r="EX22" s="288"/>
      <c r="EY22" s="288"/>
      <c r="EZ22" s="288"/>
      <c r="FA22" s="288"/>
      <c r="FB22" s="288"/>
      <c r="FC22" s="288"/>
      <c r="FD22" s="288"/>
      <c r="FE22" s="308"/>
    </row>
    <row r="23" spans="1:161">
      <c r="A23" s="195"/>
      <c r="B23" s="195"/>
      <c r="C23" s="195"/>
      <c r="D23" s="195"/>
      <c r="E23" s="195"/>
      <c r="F23" s="195"/>
      <c r="G23" s="195"/>
      <c r="H23" s="196"/>
      <c r="I23" s="232" t="s">
        <v>262</v>
      </c>
      <c r="J23" s="233"/>
      <c r="K23" s="233"/>
      <c r="L23" s="233"/>
      <c r="M23" s="233"/>
      <c r="N23" s="233"/>
      <c r="O23" s="233"/>
      <c r="P23" s="233"/>
      <c r="Q23" s="233"/>
      <c r="R23" s="233"/>
      <c r="S23" s="233"/>
      <c r="T23" s="233"/>
      <c r="U23" s="233"/>
      <c r="V23" s="233"/>
      <c r="W23" s="233"/>
      <c r="X23" s="233"/>
      <c r="Y23" s="233"/>
      <c r="Z23" s="233"/>
      <c r="AA23" s="233"/>
      <c r="AB23" s="233"/>
      <c r="AC23" s="233"/>
      <c r="AD23" s="233"/>
      <c r="AE23" s="233"/>
      <c r="AF23" s="233"/>
      <c r="AG23" s="233"/>
      <c r="AH23" s="233"/>
      <c r="AI23" s="233"/>
      <c r="AJ23" s="233"/>
      <c r="AK23" s="233"/>
      <c r="AL23" s="233"/>
      <c r="AM23" s="233"/>
      <c r="AN23" s="233"/>
      <c r="AO23" s="233"/>
      <c r="AP23" s="233"/>
      <c r="AQ23" s="233"/>
      <c r="AR23" s="233"/>
      <c r="AS23" s="233"/>
      <c r="AT23" s="233"/>
      <c r="AU23" s="233"/>
      <c r="AV23" s="233"/>
      <c r="AW23" s="233"/>
      <c r="AX23" s="233"/>
      <c r="AY23" s="233"/>
      <c r="AZ23" s="233"/>
      <c r="BA23" s="233"/>
      <c r="BB23" s="233"/>
      <c r="BC23" s="233"/>
      <c r="BD23" s="233"/>
      <c r="BE23" s="233"/>
      <c r="BF23" s="233"/>
      <c r="BG23" s="233"/>
      <c r="BH23" s="233"/>
      <c r="BI23" s="233"/>
      <c r="BJ23" s="233"/>
      <c r="BK23" s="233"/>
      <c r="BL23" s="233"/>
      <c r="BM23" s="233"/>
      <c r="BN23" s="233"/>
      <c r="BO23" s="233"/>
      <c r="BP23" s="233"/>
      <c r="BQ23" s="233"/>
      <c r="BR23" s="233"/>
      <c r="BS23" s="233"/>
      <c r="BT23" s="233"/>
      <c r="BU23" s="233"/>
      <c r="BV23" s="233"/>
      <c r="BW23" s="233"/>
      <c r="BX23" s="233"/>
      <c r="BY23" s="233"/>
      <c r="BZ23" s="233"/>
      <c r="CA23" s="233"/>
      <c r="CB23" s="233"/>
      <c r="CC23" s="233"/>
      <c r="CD23" s="233"/>
      <c r="CE23" s="233"/>
      <c r="CF23" s="233"/>
      <c r="CG23" s="233"/>
      <c r="CH23" s="233"/>
      <c r="CI23" s="233"/>
      <c r="CJ23" s="233"/>
      <c r="CK23" s="233"/>
      <c r="CL23" s="233"/>
      <c r="CM23" s="253"/>
      <c r="CN23" s="254" t="s">
        <v>263</v>
      </c>
      <c r="CO23" s="195"/>
      <c r="CP23" s="195"/>
      <c r="CQ23" s="195"/>
      <c r="CR23" s="195"/>
      <c r="CS23" s="195"/>
      <c r="CT23" s="195"/>
      <c r="CU23" s="196"/>
      <c r="CV23" s="274"/>
      <c r="CW23" s="195"/>
      <c r="CX23" s="195"/>
      <c r="CY23" s="195"/>
      <c r="CZ23" s="195"/>
      <c r="DA23" s="195"/>
      <c r="DB23" s="195"/>
      <c r="DC23" s="195"/>
      <c r="DD23" s="195"/>
      <c r="DE23" s="196"/>
      <c r="DF23" s="297"/>
      <c r="DG23" s="298"/>
      <c r="DH23" s="298"/>
      <c r="DI23" s="298"/>
      <c r="DJ23" s="298"/>
      <c r="DK23" s="298"/>
      <c r="DL23" s="298"/>
      <c r="DM23" s="298"/>
      <c r="DN23" s="298"/>
      <c r="DO23" s="298"/>
      <c r="DP23" s="298"/>
      <c r="DQ23" s="298"/>
      <c r="DR23" s="313"/>
      <c r="DS23" s="297"/>
      <c r="DT23" s="298"/>
      <c r="DU23" s="298"/>
      <c r="DV23" s="298"/>
      <c r="DW23" s="298"/>
      <c r="DX23" s="298"/>
      <c r="DY23" s="298"/>
      <c r="DZ23" s="298"/>
      <c r="EA23" s="298"/>
      <c r="EB23" s="298"/>
      <c r="EC23" s="298"/>
      <c r="ED23" s="298"/>
      <c r="EE23" s="313"/>
      <c r="EF23" s="297"/>
      <c r="EG23" s="298"/>
      <c r="EH23" s="298"/>
      <c r="EI23" s="298"/>
      <c r="EJ23" s="298"/>
      <c r="EK23" s="298"/>
      <c r="EL23" s="298"/>
      <c r="EM23" s="298"/>
      <c r="EN23" s="298"/>
      <c r="EO23" s="298"/>
      <c r="EP23" s="298"/>
      <c r="EQ23" s="298"/>
      <c r="ER23" s="313"/>
      <c r="ES23" s="297"/>
      <c r="ET23" s="298"/>
      <c r="EU23" s="298"/>
      <c r="EV23" s="298"/>
      <c r="EW23" s="298"/>
      <c r="EX23" s="298"/>
      <c r="EY23" s="298"/>
      <c r="EZ23" s="298"/>
      <c r="FA23" s="298"/>
      <c r="FB23" s="298"/>
      <c r="FC23" s="298"/>
      <c r="FD23" s="298"/>
      <c r="FE23" s="321"/>
    </row>
    <row r="24" spans="1:161">
      <c r="A24" s="197"/>
      <c r="B24" s="197"/>
      <c r="C24" s="197"/>
      <c r="D24" s="197"/>
      <c r="E24" s="197"/>
      <c r="F24" s="197"/>
      <c r="G24" s="197"/>
      <c r="H24" s="198"/>
      <c r="I24" s="234"/>
      <c r="J24" s="235"/>
      <c r="K24" s="235"/>
      <c r="L24" s="235"/>
      <c r="M24" s="235"/>
      <c r="N24" s="235"/>
      <c r="O24" s="235"/>
      <c r="P24" s="235"/>
      <c r="Q24" s="235"/>
      <c r="R24" s="235"/>
      <c r="S24" s="235"/>
      <c r="T24" s="235"/>
      <c r="U24" s="235"/>
      <c r="V24" s="235"/>
      <c r="W24" s="235"/>
      <c r="X24" s="235"/>
      <c r="Y24" s="235"/>
      <c r="Z24" s="235"/>
      <c r="AA24" s="235"/>
      <c r="AB24" s="235"/>
      <c r="AC24" s="235"/>
      <c r="AD24" s="235"/>
      <c r="AE24" s="235"/>
      <c r="AF24" s="235"/>
      <c r="AG24" s="235"/>
      <c r="AH24" s="235"/>
      <c r="AI24" s="235"/>
      <c r="AJ24" s="235"/>
      <c r="AK24" s="235"/>
      <c r="AL24" s="235"/>
      <c r="AM24" s="235"/>
      <c r="AN24" s="235"/>
      <c r="AO24" s="235"/>
      <c r="AP24" s="235"/>
      <c r="AQ24" s="235"/>
      <c r="AR24" s="235"/>
      <c r="AS24" s="235"/>
      <c r="AT24" s="235"/>
      <c r="AU24" s="235"/>
      <c r="AV24" s="235"/>
      <c r="AW24" s="235"/>
      <c r="AX24" s="235"/>
      <c r="AY24" s="235"/>
      <c r="AZ24" s="235"/>
      <c r="BA24" s="235"/>
      <c r="BB24" s="235"/>
      <c r="BC24" s="235"/>
      <c r="BD24" s="235"/>
      <c r="BE24" s="235"/>
      <c r="BF24" s="235"/>
      <c r="BG24" s="235"/>
      <c r="BH24" s="235"/>
      <c r="BI24" s="235"/>
      <c r="BJ24" s="235"/>
      <c r="BK24" s="235"/>
      <c r="BL24" s="235"/>
      <c r="BM24" s="235"/>
      <c r="BN24" s="235"/>
      <c r="BO24" s="235"/>
      <c r="BP24" s="235"/>
      <c r="BQ24" s="235"/>
      <c r="BR24" s="235"/>
      <c r="BS24" s="235"/>
      <c r="BT24" s="235"/>
      <c r="BU24" s="235"/>
      <c r="BV24" s="235"/>
      <c r="BW24" s="235"/>
      <c r="BX24" s="235"/>
      <c r="BY24" s="235"/>
      <c r="BZ24" s="235"/>
      <c r="CA24" s="235"/>
      <c r="CB24" s="235"/>
      <c r="CC24" s="235"/>
      <c r="CD24" s="235"/>
      <c r="CE24" s="235"/>
      <c r="CF24" s="235"/>
      <c r="CG24" s="235"/>
      <c r="CH24" s="235"/>
      <c r="CI24" s="235"/>
      <c r="CJ24" s="235"/>
      <c r="CK24" s="235"/>
      <c r="CL24" s="235"/>
      <c r="CM24" s="235"/>
      <c r="CN24" s="255"/>
      <c r="CO24" s="197"/>
      <c r="CP24" s="197"/>
      <c r="CQ24" s="197"/>
      <c r="CR24" s="197"/>
      <c r="CS24" s="197"/>
      <c r="CT24" s="197"/>
      <c r="CU24" s="198"/>
      <c r="CV24" s="275"/>
      <c r="CW24" s="197"/>
      <c r="CX24" s="197"/>
      <c r="CY24" s="197"/>
      <c r="CZ24" s="197"/>
      <c r="DA24" s="197"/>
      <c r="DB24" s="197"/>
      <c r="DC24" s="197"/>
      <c r="DD24" s="197"/>
      <c r="DE24" s="198"/>
      <c r="DF24" s="299"/>
      <c r="DG24" s="300"/>
      <c r="DH24" s="300"/>
      <c r="DI24" s="300"/>
      <c r="DJ24" s="300"/>
      <c r="DK24" s="300"/>
      <c r="DL24" s="300"/>
      <c r="DM24" s="300"/>
      <c r="DN24" s="300"/>
      <c r="DO24" s="300"/>
      <c r="DP24" s="300"/>
      <c r="DQ24" s="300"/>
      <c r="DR24" s="314"/>
      <c r="DS24" s="299"/>
      <c r="DT24" s="300"/>
      <c r="DU24" s="300"/>
      <c r="DV24" s="300"/>
      <c r="DW24" s="300"/>
      <c r="DX24" s="300"/>
      <c r="DY24" s="300"/>
      <c r="DZ24" s="300"/>
      <c r="EA24" s="300"/>
      <c r="EB24" s="300"/>
      <c r="EC24" s="300"/>
      <c r="ED24" s="300"/>
      <c r="EE24" s="314"/>
      <c r="EF24" s="299"/>
      <c r="EG24" s="300"/>
      <c r="EH24" s="300"/>
      <c r="EI24" s="300"/>
      <c r="EJ24" s="300"/>
      <c r="EK24" s="300"/>
      <c r="EL24" s="300"/>
      <c r="EM24" s="300"/>
      <c r="EN24" s="300"/>
      <c r="EO24" s="300"/>
      <c r="EP24" s="300"/>
      <c r="EQ24" s="300"/>
      <c r="ER24" s="314"/>
      <c r="ES24" s="299"/>
      <c r="ET24" s="300"/>
      <c r="EU24" s="300"/>
      <c r="EV24" s="300"/>
      <c r="EW24" s="300"/>
      <c r="EX24" s="300"/>
      <c r="EY24" s="300"/>
      <c r="EZ24" s="300"/>
      <c r="FA24" s="300"/>
      <c r="FB24" s="300"/>
      <c r="FC24" s="300"/>
      <c r="FD24" s="300"/>
      <c r="FE24" s="322"/>
    </row>
    <row r="25" ht="24" customHeight="1" spans="1:161">
      <c r="A25" s="191" t="s">
        <v>38</v>
      </c>
      <c r="B25" s="191"/>
      <c r="C25" s="191"/>
      <c r="D25" s="191"/>
      <c r="E25" s="191"/>
      <c r="F25" s="191"/>
      <c r="G25" s="191"/>
      <c r="H25" s="192"/>
      <c r="I25" s="230" t="s">
        <v>264</v>
      </c>
      <c r="J25" s="231"/>
      <c r="K25" s="231"/>
      <c r="L25" s="231"/>
      <c r="M25" s="231"/>
      <c r="N25" s="231"/>
      <c r="O25" s="231"/>
      <c r="P25" s="231"/>
      <c r="Q25" s="231"/>
      <c r="R25" s="231"/>
      <c r="S25" s="231"/>
      <c r="T25" s="231"/>
      <c r="U25" s="231"/>
      <c r="V25" s="231"/>
      <c r="W25" s="231"/>
      <c r="X25" s="231"/>
      <c r="Y25" s="231"/>
      <c r="Z25" s="231"/>
      <c r="AA25" s="231"/>
      <c r="AB25" s="231"/>
      <c r="AC25" s="231"/>
      <c r="AD25" s="231"/>
      <c r="AE25" s="231"/>
      <c r="AF25" s="231"/>
      <c r="AG25" s="231"/>
      <c r="AH25" s="231"/>
      <c r="AI25" s="231"/>
      <c r="AJ25" s="231"/>
      <c r="AK25" s="231"/>
      <c r="AL25" s="231"/>
      <c r="AM25" s="231"/>
      <c r="AN25" s="231"/>
      <c r="AO25" s="231"/>
      <c r="AP25" s="231"/>
      <c r="AQ25" s="231"/>
      <c r="AR25" s="231"/>
      <c r="AS25" s="231"/>
      <c r="AT25" s="231"/>
      <c r="AU25" s="231"/>
      <c r="AV25" s="231"/>
      <c r="AW25" s="231"/>
      <c r="AX25" s="231"/>
      <c r="AY25" s="231"/>
      <c r="AZ25" s="231"/>
      <c r="BA25" s="231"/>
      <c r="BB25" s="231"/>
      <c r="BC25" s="231"/>
      <c r="BD25" s="231"/>
      <c r="BE25" s="231"/>
      <c r="BF25" s="231"/>
      <c r="BG25" s="231"/>
      <c r="BH25" s="231"/>
      <c r="BI25" s="231"/>
      <c r="BJ25" s="231"/>
      <c r="BK25" s="231"/>
      <c r="BL25" s="231"/>
      <c r="BM25" s="231"/>
      <c r="BN25" s="231"/>
      <c r="BO25" s="231"/>
      <c r="BP25" s="231"/>
      <c r="BQ25" s="231"/>
      <c r="BR25" s="231"/>
      <c r="BS25" s="231"/>
      <c r="BT25" s="231"/>
      <c r="BU25" s="231"/>
      <c r="BV25" s="231"/>
      <c r="BW25" s="231"/>
      <c r="BX25" s="231"/>
      <c r="BY25" s="231"/>
      <c r="BZ25" s="231"/>
      <c r="CA25" s="231"/>
      <c r="CB25" s="231"/>
      <c r="CC25" s="231"/>
      <c r="CD25" s="231"/>
      <c r="CE25" s="231"/>
      <c r="CF25" s="231"/>
      <c r="CG25" s="231"/>
      <c r="CH25" s="231"/>
      <c r="CI25" s="231"/>
      <c r="CJ25" s="231"/>
      <c r="CK25" s="231"/>
      <c r="CL25" s="231"/>
      <c r="CM25" s="231"/>
      <c r="CN25" s="247" t="s">
        <v>265</v>
      </c>
      <c r="CO25" s="191"/>
      <c r="CP25" s="191"/>
      <c r="CQ25" s="191"/>
      <c r="CR25" s="191"/>
      <c r="CS25" s="191"/>
      <c r="CT25" s="191"/>
      <c r="CU25" s="192"/>
      <c r="CV25" s="268" t="s">
        <v>46</v>
      </c>
      <c r="CW25" s="191"/>
      <c r="CX25" s="191"/>
      <c r="CY25" s="191"/>
      <c r="CZ25" s="191"/>
      <c r="DA25" s="191"/>
      <c r="DB25" s="191"/>
      <c r="DC25" s="191"/>
      <c r="DD25" s="191"/>
      <c r="DE25" s="192"/>
      <c r="DF25" s="289">
        <f>DF11</f>
        <v>10234216.11</v>
      </c>
      <c r="DG25" s="290"/>
      <c r="DH25" s="290"/>
      <c r="DI25" s="290"/>
      <c r="DJ25" s="290"/>
      <c r="DK25" s="290"/>
      <c r="DL25" s="290"/>
      <c r="DM25" s="290"/>
      <c r="DN25" s="290"/>
      <c r="DO25" s="290"/>
      <c r="DP25" s="290"/>
      <c r="DQ25" s="290"/>
      <c r="DR25" s="309"/>
      <c r="DS25" s="289">
        <f t="shared" ref="DS25" si="2">DS11</f>
        <v>10086354.88</v>
      </c>
      <c r="DT25" s="290"/>
      <c r="DU25" s="290"/>
      <c r="DV25" s="290"/>
      <c r="DW25" s="290"/>
      <c r="DX25" s="290"/>
      <c r="DY25" s="290"/>
      <c r="DZ25" s="290"/>
      <c r="EA25" s="290"/>
      <c r="EB25" s="290"/>
      <c r="EC25" s="290"/>
      <c r="ED25" s="290"/>
      <c r="EE25" s="309"/>
      <c r="EF25" s="289">
        <f t="shared" ref="EF25" si="3">EF11</f>
        <v>10184354.88</v>
      </c>
      <c r="EG25" s="290"/>
      <c r="EH25" s="290"/>
      <c r="EI25" s="290"/>
      <c r="EJ25" s="290"/>
      <c r="EK25" s="290"/>
      <c r="EL25" s="290"/>
      <c r="EM25" s="290"/>
      <c r="EN25" s="290"/>
      <c r="EO25" s="290"/>
      <c r="EP25" s="290"/>
      <c r="EQ25" s="290"/>
      <c r="ER25" s="309"/>
      <c r="ES25" s="289">
        <f t="shared" ref="ES25" si="4">ES11</f>
        <v>0</v>
      </c>
      <c r="ET25" s="290"/>
      <c r="EU25" s="290"/>
      <c r="EV25" s="290"/>
      <c r="EW25" s="290"/>
      <c r="EX25" s="290"/>
      <c r="EY25" s="290"/>
      <c r="EZ25" s="290"/>
      <c r="FA25" s="290"/>
      <c r="FB25" s="290"/>
      <c r="FC25" s="290"/>
      <c r="FD25" s="290"/>
      <c r="FE25" s="309"/>
    </row>
    <row r="26" spans="1:161">
      <c r="A26" s="195"/>
      <c r="B26" s="195"/>
      <c r="C26" s="195"/>
      <c r="D26" s="195"/>
      <c r="E26" s="195"/>
      <c r="F26" s="195"/>
      <c r="G26" s="195"/>
      <c r="H26" s="196"/>
      <c r="I26" s="232" t="s">
        <v>262</v>
      </c>
      <c r="J26" s="233"/>
      <c r="K26" s="233"/>
      <c r="L26" s="233"/>
      <c r="M26" s="233"/>
      <c r="N26" s="233"/>
      <c r="O26" s="233"/>
      <c r="P26" s="233"/>
      <c r="Q26" s="233"/>
      <c r="R26" s="233"/>
      <c r="S26" s="233"/>
      <c r="T26" s="233"/>
      <c r="U26" s="233"/>
      <c r="V26" s="233"/>
      <c r="W26" s="233"/>
      <c r="X26" s="233"/>
      <c r="Y26" s="233"/>
      <c r="Z26" s="233"/>
      <c r="AA26" s="233"/>
      <c r="AB26" s="233"/>
      <c r="AC26" s="233"/>
      <c r="AD26" s="233"/>
      <c r="AE26" s="233"/>
      <c r="AF26" s="233"/>
      <c r="AG26" s="233"/>
      <c r="AH26" s="233"/>
      <c r="AI26" s="233"/>
      <c r="AJ26" s="233"/>
      <c r="AK26" s="233"/>
      <c r="AL26" s="233"/>
      <c r="AM26" s="233"/>
      <c r="AN26" s="233"/>
      <c r="AO26" s="233"/>
      <c r="AP26" s="233"/>
      <c r="AQ26" s="233"/>
      <c r="AR26" s="233"/>
      <c r="AS26" s="233"/>
      <c r="AT26" s="233"/>
      <c r="AU26" s="233"/>
      <c r="AV26" s="233"/>
      <c r="AW26" s="233"/>
      <c r="AX26" s="233"/>
      <c r="AY26" s="233"/>
      <c r="AZ26" s="233"/>
      <c r="BA26" s="233"/>
      <c r="BB26" s="233"/>
      <c r="BC26" s="233"/>
      <c r="BD26" s="233"/>
      <c r="BE26" s="233"/>
      <c r="BF26" s="233"/>
      <c r="BG26" s="233"/>
      <c r="BH26" s="233"/>
      <c r="BI26" s="233"/>
      <c r="BJ26" s="233"/>
      <c r="BK26" s="233"/>
      <c r="BL26" s="233"/>
      <c r="BM26" s="233"/>
      <c r="BN26" s="233"/>
      <c r="BO26" s="233"/>
      <c r="BP26" s="233"/>
      <c r="BQ26" s="233"/>
      <c r="BR26" s="233"/>
      <c r="BS26" s="233"/>
      <c r="BT26" s="233"/>
      <c r="BU26" s="233"/>
      <c r="BV26" s="233"/>
      <c r="BW26" s="233"/>
      <c r="BX26" s="233"/>
      <c r="BY26" s="233"/>
      <c r="BZ26" s="233"/>
      <c r="CA26" s="233"/>
      <c r="CB26" s="233"/>
      <c r="CC26" s="233"/>
      <c r="CD26" s="233"/>
      <c r="CE26" s="233"/>
      <c r="CF26" s="233"/>
      <c r="CG26" s="233"/>
      <c r="CH26" s="233"/>
      <c r="CI26" s="233"/>
      <c r="CJ26" s="233"/>
      <c r="CK26" s="233"/>
      <c r="CL26" s="233"/>
      <c r="CM26" s="253"/>
      <c r="CN26" s="254" t="s">
        <v>266</v>
      </c>
      <c r="CO26" s="195"/>
      <c r="CP26" s="195"/>
      <c r="CQ26" s="195"/>
      <c r="CR26" s="195"/>
      <c r="CS26" s="195"/>
      <c r="CT26" s="195"/>
      <c r="CU26" s="196"/>
      <c r="CV26" s="274"/>
      <c r="CW26" s="195"/>
      <c r="CX26" s="195"/>
      <c r="CY26" s="195"/>
      <c r="CZ26" s="195"/>
      <c r="DA26" s="195"/>
      <c r="DB26" s="195"/>
      <c r="DC26" s="195"/>
      <c r="DD26" s="195"/>
      <c r="DE26" s="196"/>
      <c r="DF26" s="297"/>
      <c r="DG26" s="298"/>
      <c r="DH26" s="298"/>
      <c r="DI26" s="298"/>
      <c r="DJ26" s="298"/>
      <c r="DK26" s="298"/>
      <c r="DL26" s="298"/>
      <c r="DM26" s="298"/>
      <c r="DN26" s="298"/>
      <c r="DO26" s="298"/>
      <c r="DP26" s="298"/>
      <c r="DQ26" s="298"/>
      <c r="DR26" s="313"/>
      <c r="DS26" s="297"/>
      <c r="DT26" s="298"/>
      <c r="DU26" s="298"/>
      <c r="DV26" s="298"/>
      <c r="DW26" s="298"/>
      <c r="DX26" s="298"/>
      <c r="DY26" s="298"/>
      <c r="DZ26" s="298"/>
      <c r="EA26" s="298"/>
      <c r="EB26" s="298"/>
      <c r="EC26" s="298"/>
      <c r="ED26" s="298"/>
      <c r="EE26" s="313"/>
      <c r="EF26" s="297"/>
      <c r="EG26" s="298"/>
      <c r="EH26" s="298"/>
      <c r="EI26" s="298"/>
      <c r="EJ26" s="298"/>
      <c r="EK26" s="298"/>
      <c r="EL26" s="298"/>
      <c r="EM26" s="298"/>
      <c r="EN26" s="298"/>
      <c r="EO26" s="298"/>
      <c r="EP26" s="298"/>
      <c r="EQ26" s="298"/>
      <c r="ER26" s="313"/>
      <c r="ES26" s="297"/>
      <c r="ET26" s="298"/>
      <c r="EU26" s="298"/>
      <c r="EV26" s="298"/>
      <c r="EW26" s="298"/>
      <c r="EX26" s="298"/>
      <c r="EY26" s="298"/>
      <c r="EZ26" s="298"/>
      <c r="FA26" s="298"/>
      <c r="FB26" s="298"/>
      <c r="FC26" s="298"/>
      <c r="FD26" s="298"/>
      <c r="FE26" s="321"/>
    </row>
    <row r="27" ht="12" spans="1:161">
      <c r="A27" s="197"/>
      <c r="B27" s="197"/>
      <c r="C27" s="197"/>
      <c r="D27" s="197"/>
      <c r="E27" s="197"/>
      <c r="F27" s="197"/>
      <c r="G27" s="197"/>
      <c r="H27" s="198"/>
      <c r="I27" s="234"/>
      <c r="J27" s="235"/>
      <c r="K27" s="235"/>
      <c r="L27" s="235"/>
      <c r="M27" s="235"/>
      <c r="N27" s="235"/>
      <c r="O27" s="235"/>
      <c r="P27" s="235"/>
      <c r="Q27" s="235"/>
      <c r="R27" s="235"/>
      <c r="S27" s="235"/>
      <c r="T27" s="235"/>
      <c r="U27" s="235"/>
      <c r="V27" s="235"/>
      <c r="W27" s="235"/>
      <c r="X27" s="235"/>
      <c r="Y27" s="235"/>
      <c r="Z27" s="235"/>
      <c r="AA27" s="235"/>
      <c r="AB27" s="235"/>
      <c r="AC27" s="235"/>
      <c r="AD27" s="235"/>
      <c r="AE27" s="235"/>
      <c r="AF27" s="235"/>
      <c r="AG27" s="235"/>
      <c r="AH27" s="235"/>
      <c r="AI27" s="235"/>
      <c r="AJ27" s="235"/>
      <c r="AK27" s="235"/>
      <c r="AL27" s="235"/>
      <c r="AM27" s="235"/>
      <c r="AN27" s="235"/>
      <c r="AO27" s="235"/>
      <c r="AP27" s="235"/>
      <c r="AQ27" s="235"/>
      <c r="AR27" s="235"/>
      <c r="AS27" s="235"/>
      <c r="AT27" s="235"/>
      <c r="AU27" s="235"/>
      <c r="AV27" s="235"/>
      <c r="AW27" s="235"/>
      <c r="AX27" s="235"/>
      <c r="AY27" s="235"/>
      <c r="AZ27" s="235"/>
      <c r="BA27" s="235"/>
      <c r="BB27" s="235"/>
      <c r="BC27" s="235"/>
      <c r="BD27" s="235"/>
      <c r="BE27" s="235"/>
      <c r="BF27" s="235"/>
      <c r="BG27" s="235"/>
      <c r="BH27" s="235"/>
      <c r="BI27" s="235"/>
      <c r="BJ27" s="235"/>
      <c r="BK27" s="235"/>
      <c r="BL27" s="235"/>
      <c r="BM27" s="235"/>
      <c r="BN27" s="235"/>
      <c r="BO27" s="235"/>
      <c r="BP27" s="235"/>
      <c r="BQ27" s="235"/>
      <c r="BR27" s="235"/>
      <c r="BS27" s="235"/>
      <c r="BT27" s="235"/>
      <c r="BU27" s="235"/>
      <c r="BV27" s="235"/>
      <c r="BW27" s="235"/>
      <c r="BX27" s="235"/>
      <c r="BY27" s="235"/>
      <c r="BZ27" s="235"/>
      <c r="CA27" s="235"/>
      <c r="CB27" s="235"/>
      <c r="CC27" s="235"/>
      <c r="CD27" s="235"/>
      <c r="CE27" s="235"/>
      <c r="CF27" s="235"/>
      <c r="CG27" s="235"/>
      <c r="CH27" s="235"/>
      <c r="CI27" s="235"/>
      <c r="CJ27" s="235"/>
      <c r="CK27" s="235"/>
      <c r="CL27" s="235"/>
      <c r="CM27" s="235"/>
      <c r="CN27" s="256"/>
      <c r="CO27" s="257"/>
      <c r="CP27" s="257"/>
      <c r="CQ27" s="257"/>
      <c r="CR27" s="257"/>
      <c r="CS27" s="257"/>
      <c r="CT27" s="257"/>
      <c r="CU27" s="276"/>
      <c r="CV27" s="277"/>
      <c r="CW27" s="257"/>
      <c r="CX27" s="257"/>
      <c r="CY27" s="257"/>
      <c r="CZ27" s="257"/>
      <c r="DA27" s="257"/>
      <c r="DB27" s="257"/>
      <c r="DC27" s="257"/>
      <c r="DD27" s="257"/>
      <c r="DE27" s="276"/>
      <c r="DF27" s="301"/>
      <c r="DG27" s="302"/>
      <c r="DH27" s="302"/>
      <c r="DI27" s="302"/>
      <c r="DJ27" s="302"/>
      <c r="DK27" s="302"/>
      <c r="DL27" s="302"/>
      <c r="DM27" s="302"/>
      <c r="DN27" s="302"/>
      <c r="DO27" s="302"/>
      <c r="DP27" s="302"/>
      <c r="DQ27" s="302"/>
      <c r="DR27" s="315"/>
      <c r="DS27" s="301"/>
      <c r="DT27" s="302"/>
      <c r="DU27" s="302"/>
      <c r="DV27" s="302"/>
      <c r="DW27" s="302"/>
      <c r="DX27" s="302"/>
      <c r="DY27" s="302"/>
      <c r="DZ27" s="302"/>
      <c r="EA27" s="302"/>
      <c r="EB27" s="302"/>
      <c r="EC27" s="302"/>
      <c r="ED27" s="302"/>
      <c r="EE27" s="315"/>
      <c r="EF27" s="301"/>
      <c r="EG27" s="302"/>
      <c r="EH27" s="302"/>
      <c r="EI27" s="302"/>
      <c r="EJ27" s="302"/>
      <c r="EK27" s="302"/>
      <c r="EL27" s="302"/>
      <c r="EM27" s="302"/>
      <c r="EN27" s="302"/>
      <c r="EO27" s="302"/>
      <c r="EP27" s="302"/>
      <c r="EQ27" s="302"/>
      <c r="ER27" s="315"/>
      <c r="ES27" s="301"/>
      <c r="ET27" s="302"/>
      <c r="EU27" s="302"/>
      <c r="EV27" s="302"/>
      <c r="EW27" s="302"/>
      <c r="EX27" s="302"/>
      <c r="EY27" s="302"/>
      <c r="EZ27" s="302"/>
      <c r="FA27" s="302"/>
      <c r="FB27" s="302"/>
      <c r="FC27" s="302"/>
      <c r="FD27" s="302"/>
      <c r="FE27" s="323"/>
    </row>
    <row r="29" spans="9:9">
      <c r="I29" s="179" t="s">
        <v>267</v>
      </c>
    </row>
    <row r="30" spans="9:96">
      <c r="I30" s="179" t="s">
        <v>268</v>
      </c>
      <c r="AQ30" s="202" t="str">
        <f>'план '!K5</f>
        <v>Заведующий</v>
      </c>
      <c r="AR30" s="202"/>
      <c r="AS30" s="202"/>
      <c r="AT30" s="202"/>
      <c r="AU30" s="202"/>
      <c r="AV30" s="202"/>
      <c r="AW30" s="202"/>
      <c r="AX30" s="202"/>
      <c r="AY30" s="202"/>
      <c r="AZ30" s="202"/>
      <c r="BA30" s="202"/>
      <c r="BB30" s="202"/>
      <c r="BC30" s="202"/>
      <c r="BD30" s="202"/>
      <c r="BE30" s="202"/>
      <c r="BF30" s="202"/>
      <c r="BG30" s="202"/>
      <c r="BH30" s="202"/>
      <c r="BK30" s="202"/>
      <c r="BL30" s="202"/>
      <c r="BM30" s="202"/>
      <c r="BN30" s="202"/>
      <c r="BO30" s="202"/>
      <c r="BP30" s="202"/>
      <c r="BQ30" s="202"/>
      <c r="BR30" s="202"/>
      <c r="BS30" s="202"/>
      <c r="BT30" s="202"/>
      <c r="BU30" s="202"/>
      <c r="BV30" s="202"/>
      <c r="BY30" s="202" t="str">
        <f>'план '!K9</f>
        <v>Измайлова Н.В.</v>
      </c>
      <c r="BZ30" s="202"/>
      <c r="CA30" s="202"/>
      <c r="CB30" s="202"/>
      <c r="CC30" s="202"/>
      <c r="CD30" s="202"/>
      <c r="CE30" s="202"/>
      <c r="CF30" s="202"/>
      <c r="CG30" s="202"/>
      <c r="CH30" s="202"/>
      <c r="CI30" s="202"/>
      <c r="CJ30" s="202"/>
      <c r="CK30" s="202"/>
      <c r="CL30" s="202"/>
      <c r="CM30" s="202"/>
      <c r="CN30" s="202"/>
      <c r="CO30" s="202"/>
      <c r="CP30" s="202"/>
      <c r="CQ30" s="202"/>
      <c r="CR30" s="202"/>
    </row>
    <row r="31" s="177" customFormat="1" ht="8.25" spans="43:96">
      <c r="AQ31" s="204" t="s">
        <v>269</v>
      </c>
      <c r="AR31" s="204"/>
      <c r="AS31" s="204"/>
      <c r="AT31" s="204"/>
      <c r="AU31" s="204"/>
      <c r="AV31" s="204"/>
      <c r="AW31" s="204"/>
      <c r="AX31" s="204"/>
      <c r="AY31" s="204"/>
      <c r="AZ31" s="204"/>
      <c r="BA31" s="204"/>
      <c r="BB31" s="204"/>
      <c r="BC31" s="204"/>
      <c r="BD31" s="204"/>
      <c r="BE31" s="204"/>
      <c r="BF31" s="204"/>
      <c r="BG31" s="204"/>
      <c r="BH31" s="204"/>
      <c r="BK31" s="204" t="s">
        <v>5</v>
      </c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Y31" s="204" t="s">
        <v>270</v>
      </c>
      <c r="BZ31" s="204"/>
      <c r="CA31" s="204"/>
      <c r="CB31" s="204"/>
      <c r="CC31" s="204"/>
      <c r="CD31" s="204"/>
      <c r="CE31" s="204"/>
      <c r="CF31" s="204"/>
      <c r="CG31" s="204"/>
      <c r="CH31" s="204"/>
      <c r="CI31" s="204"/>
      <c r="CJ31" s="204"/>
      <c r="CK31" s="204"/>
      <c r="CL31" s="204"/>
      <c r="CM31" s="204"/>
      <c r="CN31" s="204"/>
      <c r="CO31" s="204"/>
      <c r="CP31" s="204"/>
      <c r="CQ31" s="204"/>
      <c r="CR31" s="204"/>
    </row>
    <row r="32" s="177" customFormat="1" ht="3" customHeight="1" spans="43:96">
      <c r="AQ32" s="206"/>
      <c r="AR32" s="206"/>
      <c r="AS32" s="206"/>
      <c r="AT32" s="206"/>
      <c r="AU32" s="206"/>
      <c r="AV32" s="206"/>
      <c r="AW32" s="206"/>
      <c r="AX32" s="206"/>
      <c r="AY32" s="206"/>
      <c r="AZ32" s="206"/>
      <c r="BA32" s="206"/>
      <c r="BB32" s="206"/>
      <c r="BC32" s="206"/>
      <c r="BD32" s="206"/>
      <c r="BE32" s="206"/>
      <c r="BF32" s="206"/>
      <c r="BG32" s="206"/>
      <c r="BH32" s="206"/>
      <c r="BK32" s="206"/>
      <c r="BL32" s="206"/>
      <c r="BM32" s="206"/>
      <c r="BN32" s="206"/>
      <c r="BO32" s="206"/>
      <c r="BP32" s="206"/>
      <c r="BQ32" s="206"/>
      <c r="BR32" s="206"/>
      <c r="BS32" s="206"/>
      <c r="BT32" s="206"/>
      <c r="BU32" s="206"/>
      <c r="BV32" s="206"/>
      <c r="BY32" s="206"/>
      <c r="BZ32" s="206"/>
      <c r="CA32" s="206"/>
      <c r="CB32" s="206"/>
      <c r="CC32" s="206"/>
      <c r="CD32" s="206"/>
      <c r="CE32" s="206"/>
      <c r="CF32" s="206"/>
      <c r="CG32" s="206"/>
      <c r="CH32" s="206"/>
      <c r="CI32" s="206"/>
      <c r="CJ32" s="206"/>
      <c r="CK32" s="206"/>
      <c r="CL32" s="206"/>
      <c r="CM32" s="206"/>
      <c r="CN32" s="206"/>
      <c r="CO32" s="206"/>
      <c r="CP32" s="206"/>
      <c r="CQ32" s="206"/>
      <c r="CR32" s="206"/>
    </row>
    <row r="33" spans="9:96">
      <c r="I33" s="179" t="s">
        <v>271</v>
      </c>
      <c r="AM33" s="202" t="s">
        <v>272</v>
      </c>
      <c r="AN33" s="202"/>
      <c r="AO33" s="202"/>
      <c r="AP33" s="202"/>
      <c r="AQ33" s="202"/>
      <c r="AR33" s="202"/>
      <c r="AS33" s="202"/>
      <c r="AT33" s="202"/>
      <c r="AU33" s="202"/>
      <c r="AV33" s="202"/>
      <c r="AW33" s="202"/>
      <c r="AX33" s="202"/>
      <c r="AY33" s="202"/>
      <c r="AZ33" s="202"/>
      <c r="BA33" s="202"/>
      <c r="BB33" s="202"/>
      <c r="BC33" s="202"/>
      <c r="BD33" s="202"/>
      <c r="BG33" s="202" t="s">
        <v>273</v>
      </c>
      <c r="BH33" s="202"/>
      <c r="BI33" s="202"/>
      <c r="BJ33" s="202"/>
      <c r="BK33" s="202"/>
      <c r="BL33" s="202"/>
      <c r="BM33" s="202"/>
      <c r="BN33" s="202"/>
      <c r="BO33" s="202"/>
      <c r="BP33" s="202"/>
      <c r="BQ33" s="202"/>
      <c r="BR33" s="202"/>
      <c r="BS33" s="202"/>
      <c r="BT33" s="202"/>
      <c r="BU33" s="202"/>
      <c r="BV33" s="202"/>
      <c r="BW33" s="202"/>
      <c r="BX33" s="202"/>
      <c r="CA33" s="197" t="s">
        <v>274</v>
      </c>
      <c r="CB33" s="197"/>
      <c r="CC33" s="197"/>
      <c r="CD33" s="197"/>
      <c r="CE33" s="197"/>
      <c r="CF33" s="197"/>
      <c r="CG33" s="197"/>
      <c r="CH33" s="197"/>
      <c r="CI33" s="197"/>
      <c r="CJ33" s="197"/>
      <c r="CK33" s="197"/>
      <c r="CL33" s="197"/>
      <c r="CM33" s="197"/>
      <c r="CN33" s="197"/>
      <c r="CO33" s="197"/>
      <c r="CP33" s="197"/>
      <c r="CQ33" s="197"/>
      <c r="CR33" s="197"/>
    </row>
    <row r="34" s="177" customFormat="1" ht="8.25" spans="39:96">
      <c r="AM34" s="204" t="s">
        <v>269</v>
      </c>
      <c r="AN34" s="204"/>
      <c r="AO34" s="204"/>
      <c r="AP34" s="204"/>
      <c r="AQ34" s="204"/>
      <c r="AR34" s="204"/>
      <c r="AS34" s="204"/>
      <c r="AT34" s="204"/>
      <c r="AU34" s="204"/>
      <c r="AV34" s="204"/>
      <c r="AW34" s="204"/>
      <c r="AX34" s="204"/>
      <c r="AY34" s="204"/>
      <c r="AZ34" s="204"/>
      <c r="BA34" s="204"/>
      <c r="BB34" s="204"/>
      <c r="BC34" s="204"/>
      <c r="BD34" s="204"/>
      <c r="BG34" s="204" t="s">
        <v>275</v>
      </c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CA34" s="204" t="s">
        <v>276</v>
      </c>
      <c r="CB34" s="204"/>
      <c r="CC34" s="204"/>
      <c r="CD34" s="204"/>
      <c r="CE34" s="204"/>
      <c r="CF34" s="204"/>
      <c r="CG34" s="204"/>
      <c r="CH34" s="204"/>
      <c r="CI34" s="204"/>
      <c r="CJ34" s="204"/>
      <c r="CK34" s="204"/>
      <c r="CL34" s="204"/>
      <c r="CM34" s="204"/>
      <c r="CN34" s="204"/>
      <c r="CO34" s="204"/>
      <c r="CP34" s="204"/>
      <c r="CQ34" s="204"/>
      <c r="CR34" s="204"/>
    </row>
    <row r="35" s="177" customFormat="1" ht="3" customHeight="1" spans="39:96">
      <c r="AM35" s="206"/>
      <c r="AN35" s="206"/>
      <c r="AO35" s="206"/>
      <c r="AP35" s="206"/>
      <c r="AQ35" s="206"/>
      <c r="AR35" s="206"/>
      <c r="AS35" s="206"/>
      <c r="AT35" s="206"/>
      <c r="AU35" s="206"/>
      <c r="AV35" s="206"/>
      <c r="AW35" s="206"/>
      <c r="AX35" s="206"/>
      <c r="AY35" s="206"/>
      <c r="AZ35" s="206"/>
      <c r="BA35" s="206"/>
      <c r="BB35" s="206"/>
      <c r="BC35" s="206"/>
      <c r="BD35" s="206"/>
      <c r="BG35" s="206"/>
      <c r="BH35" s="206"/>
      <c r="BI35" s="206"/>
      <c r="BJ35" s="206"/>
      <c r="BK35" s="206"/>
      <c r="BL35" s="206"/>
      <c r="BM35" s="206"/>
      <c r="BN35" s="206"/>
      <c r="BO35" s="206"/>
      <c r="BP35" s="206"/>
      <c r="BQ35" s="206"/>
      <c r="BR35" s="206"/>
      <c r="BS35" s="206"/>
      <c r="BT35" s="206"/>
      <c r="BU35" s="206"/>
      <c r="BV35" s="206"/>
      <c r="BW35" s="206"/>
      <c r="BX35" s="206"/>
      <c r="CA35" s="206"/>
      <c r="CB35" s="206"/>
      <c r="CC35" s="206"/>
      <c r="CD35" s="206"/>
      <c r="CE35" s="206"/>
      <c r="CF35" s="206"/>
      <c r="CG35" s="206"/>
      <c r="CH35" s="206"/>
      <c r="CI35" s="206"/>
      <c r="CJ35" s="206"/>
      <c r="CK35" s="206"/>
      <c r="CL35" s="206"/>
      <c r="CM35" s="206"/>
      <c r="CN35" s="206"/>
      <c r="CO35" s="206"/>
      <c r="CP35" s="206"/>
      <c r="CQ35" s="206"/>
      <c r="CR35" s="206"/>
    </row>
    <row r="36" spans="9:38">
      <c r="I36" s="208" t="s">
        <v>277</v>
      </c>
      <c r="J36" s="208"/>
      <c r="K36" s="197" t="s">
        <v>278</v>
      </c>
      <c r="L36" s="197"/>
      <c r="M36" s="197"/>
      <c r="N36" s="179" t="s">
        <v>277</v>
      </c>
      <c r="Q36" s="197" t="s">
        <v>279</v>
      </c>
      <c r="R36" s="197"/>
      <c r="S36" s="197"/>
      <c r="T36" s="197"/>
      <c r="U36" s="197"/>
      <c r="V36" s="197"/>
      <c r="W36" s="197"/>
      <c r="X36" s="197"/>
      <c r="Y36" s="197"/>
      <c r="Z36" s="197"/>
      <c r="AA36" s="197"/>
      <c r="AB36" s="197"/>
      <c r="AC36" s="197"/>
      <c r="AD36" s="197"/>
      <c r="AE36" s="197"/>
      <c r="AF36" s="208">
        <v>20</v>
      </c>
      <c r="AG36" s="208"/>
      <c r="AH36" s="208"/>
      <c r="AI36" s="236" t="s">
        <v>212</v>
      </c>
      <c r="AJ36" s="236"/>
      <c r="AK36" s="236"/>
      <c r="AL36" s="179" t="s">
        <v>213</v>
      </c>
    </row>
    <row r="37" ht="12"/>
    <row r="38" ht="3" customHeight="1" spans="1:91">
      <c r="A38" s="199"/>
      <c r="B38" s="199"/>
      <c r="C38" s="199"/>
      <c r="D38" s="199"/>
      <c r="E38" s="199"/>
      <c r="F38" s="199"/>
      <c r="G38" s="199"/>
      <c r="H38" s="199"/>
      <c r="I38" s="199"/>
      <c r="J38" s="199"/>
      <c r="K38" s="199"/>
      <c r="L38" s="199"/>
      <c r="M38" s="199"/>
      <c r="N38" s="199"/>
      <c r="O38" s="199"/>
      <c r="P38" s="199"/>
      <c r="Q38" s="199"/>
      <c r="R38" s="199"/>
      <c r="S38" s="199"/>
      <c r="T38" s="199"/>
      <c r="U38" s="199"/>
      <c r="V38" s="199"/>
      <c r="W38" s="199"/>
      <c r="X38" s="199"/>
      <c r="Y38" s="199"/>
      <c r="Z38" s="199"/>
      <c r="AA38" s="199"/>
      <c r="AB38" s="199"/>
      <c r="AC38" s="199"/>
      <c r="AD38" s="199"/>
      <c r="AE38" s="199"/>
      <c r="AF38" s="199"/>
      <c r="AG38" s="199"/>
      <c r="AH38" s="199"/>
      <c r="AI38" s="199"/>
      <c r="AJ38" s="199"/>
      <c r="AK38" s="199"/>
      <c r="AL38" s="199"/>
      <c r="AM38" s="199"/>
      <c r="AN38" s="199"/>
      <c r="AO38" s="199"/>
      <c r="AP38" s="199"/>
      <c r="AQ38" s="199"/>
      <c r="AR38" s="199"/>
      <c r="AS38" s="199"/>
      <c r="AT38" s="199"/>
      <c r="AU38" s="199"/>
      <c r="AV38" s="199"/>
      <c r="AW38" s="199"/>
      <c r="AX38" s="199"/>
      <c r="AY38" s="199"/>
      <c r="AZ38" s="199"/>
      <c r="BA38" s="199"/>
      <c r="BB38" s="199"/>
      <c r="BC38" s="199"/>
      <c r="BD38" s="199"/>
      <c r="BE38" s="199"/>
      <c r="BF38" s="199"/>
      <c r="BG38" s="199"/>
      <c r="BH38" s="199"/>
      <c r="BI38" s="199"/>
      <c r="BJ38" s="199"/>
      <c r="BK38" s="199"/>
      <c r="BL38" s="199"/>
      <c r="BM38" s="199"/>
      <c r="BN38" s="199"/>
      <c r="BO38" s="199"/>
      <c r="BP38" s="199"/>
      <c r="BQ38" s="199"/>
      <c r="BR38" s="199"/>
      <c r="BS38" s="199"/>
      <c r="BT38" s="199"/>
      <c r="BU38" s="199"/>
      <c r="BV38" s="199"/>
      <c r="BW38" s="199"/>
      <c r="BX38" s="199"/>
      <c r="BY38" s="199"/>
      <c r="BZ38" s="199"/>
      <c r="CA38" s="199"/>
      <c r="CB38" s="199"/>
      <c r="CC38" s="199"/>
      <c r="CD38" s="199"/>
      <c r="CE38" s="199"/>
      <c r="CF38" s="199"/>
      <c r="CG38" s="199"/>
      <c r="CH38" s="199"/>
      <c r="CI38" s="199"/>
      <c r="CJ38" s="199"/>
      <c r="CK38" s="199"/>
      <c r="CL38" s="199"/>
      <c r="CM38" s="258"/>
    </row>
    <row r="39" spans="1:91">
      <c r="A39" s="200" t="s">
        <v>280</v>
      </c>
      <c r="CM39" s="259"/>
    </row>
    <row r="40" spans="1:91">
      <c r="A40" s="201" t="s">
        <v>281</v>
      </c>
      <c r="B40" s="202"/>
      <c r="C40" s="202"/>
      <c r="D40" s="202"/>
      <c r="E40" s="202"/>
      <c r="F40" s="202"/>
      <c r="G40" s="202"/>
      <c r="H40" s="202"/>
      <c r="I40" s="202"/>
      <c r="J40" s="202"/>
      <c r="K40" s="202"/>
      <c r="L40" s="202"/>
      <c r="M40" s="202"/>
      <c r="N40" s="202"/>
      <c r="O40" s="202"/>
      <c r="P40" s="202"/>
      <c r="Q40" s="202"/>
      <c r="R40" s="202"/>
      <c r="S40" s="202"/>
      <c r="T40" s="202"/>
      <c r="U40" s="202"/>
      <c r="V40" s="202"/>
      <c r="W40" s="202"/>
      <c r="X40" s="202"/>
      <c r="Y40" s="202"/>
      <c r="Z40" s="202"/>
      <c r="AA40" s="202"/>
      <c r="AB40" s="202"/>
      <c r="AC40" s="202"/>
      <c r="AD40" s="202"/>
      <c r="AE40" s="202"/>
      <c r="AF40" s="202"/>
      <c r="AG40" s="202"/>
      <c r="AH40" s="202"/>
      <c r="AI40" s="202"/>
      <c r="AJ40" s="202"/>
      <c r="AK40" s="202"/>
      <c r="AL40" s="202"/>
      <c r="AM40" s="202"/>
      <c r="AN40" s="202"/>
      <c r="AO40" s="202"/>
      <c r="AP40" s="202"/>
      <c r="AQ40" s="202"/>
      <c r="AR40" s="202"/>
      <c r="AS40" s="202"/>
      <c r="AT40" s="202"/>
      <c r="AU40" s="202"/>
      <c r="AV40" s="202"/>
      <c r="AW40" s="202"/>
      <c r="AX40" s="202"/>
      <c r="AY40" s="202"/>
      <c r="AZ40" s="202"/>
      <c r="BA40" s="202"/>
      <c r="BB40" s="202"/>
      <c r="BC40" s="202"/>
      <c r="BD40" s="202"/>
      <c r="BE40" s="202"/>
      <c r="BF40" s="202"/>
      <c r="BG40" s="202"/>
      <c r="BH40" s="202"/>
      <c r="BI40" s="202"/>
      <c r="BJ40" s="202"/>
      <c r="BK40" s="202"/>
      <c r="BL40" s="202"/>
      <c r="BM40" s="202"/>
      <c r="BN40" s="202"/>
      <c r="BO40" s="202"/>
      <c r="BP40" s="202"/>
      <c r="BQ40" s="202"/>
      <c r="BR40" s="202"/>
      <c r="BS40" s="202"/>
      <c r="BT40" s="202"/>
      <c r="BU40" s="202"/>
      <c r="BV40" s="202"/>
      <c r="BW40" s="202"/>
      <c r="BX40" s="202"/>
      <c r="BY40" s="202"/>
      <c r="BZ40" s="202"/>
      <c r="CA40" s="202"/>
      <c r="CB40" s="202"/>
      <c r="CC40" s="202"/>
      <c r="CD40" s="202"/>
      <c r="CE40" s="202"/>
      <c r="CF40" s="202"/>
      <c r="CG40" s="202"/>
      <c r="CH40" s="202"/>
      <c r="CI40" s="202"/>
      <c r="CJ40" s="202"/>
      <c r="CK40" s="202"/>
      <c r="CL40" s="202"/>
      <c r="CM40" s="260"/>
    </row>
    <row r="41" s="177" customFormat="1" ht="8.25" spans="1:91">
      <c r="A41" s="203" t="s">
        <v>282</v>
      </c>
      <c r="B41" s="204"/>
      <c r="C41" s="204"/>
      <c r="D41" s="204"/>
      <c r="E41" s="204"/>
      <c r="F41" s="204"/>
      <c r="G41" s="204"/>
      <c r="H41" s="204"/>
      <c r="I41" s="204"/>
      <c r="J41" s="204"/>
      <c r="K41" s="204"/>
      <c r="L41" s="204"/>
      <c r="M41" s="204"/>
      <c r="N41" s="204"/>
      <c r="O41" s="204"/>
      <c r="P41" s="204"/>
      <c r="Q41" s="204"/>
      <c r="R41" s="204"/>
      <c r="S41" s="204"/>
      <c r="T41" s="204"/>
      <c r="U41" s="204"/>
      <c r="V41" s="204"/>
      <c r="W41" s="204"/>
      <c r="X41" s="204"/>
      <c r="Y41" s="204"/>
      <c r="Z41" s="204"/>
      <c r="AA41" s="204"/>
      <c r="AB41" s="204"/>
      <c r="AC41" s="204"/>
      <c r="AD41" s="204"/>
      <c r="AE41" s="204"/>
      <c r="AF41" s="204"/>
      <c r="AG41" s="204"/>
      <c r="AH41" s="204"/>
      <c r="AI41" s="204"/>
      <c r="AJ41" s="204"/>
      <c r="AK41" s="204"/>
      <c r="AL41" s="204"/>
      <c r="AM41" s="204"/>
      <c r="AN41" s="204"/>
      <c r="AO41" s="204"/>
      <c r="AP41" s="204"/>
      <c r="AQ41" s="204"/>
      <c r="AR41" s="204"/>
      <c r="AS41" s="204"/>
      <c r="AT41" s="204"/>
      <c r="AU41" s="204"/>
      <c r="AV41" s="204"/>
      <c r="AW41" s="204"/>
      <c r="AX41" s="204"/>
      <c r="AY41" s="204"/>
      <c r="AZ41" s="204"/>
      <c r="BA41" s="204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  <c r="BZ41" s="204"/>
      <c r="CA41" s="204"/>
      <c r="CB41" s="204"/>
      <c r="CC41" s="204"/>
      <c r="CD41" s="204"/>
      <c r="CE41" s="204"/>
      <c r="CF41" s="204"/>
      <c r="CG41" s="204"/>
      <c r="CH41" s="204"/>
      <c r="CI41" s="204"/>
      <c r="CJ41" s="204"/>
      <c r="CK41" s="204"/>
      <c r="CL41" s="204"/>
      <c r="CM41" s="261"/>
    </row>
    <row r="42" s="177" customFormat="1" ht="6" customHeight="1" spans="1:91">
      <c r="A42" s="205"/>
      <c r="B42" s="206"/>
      <c r="C42" s="206"/>
      <c r="D42" s="206"/>
      <c r="E42" s="206"/>
      <c r="F42" s="206"/>
      <c r="G42" s="206"/>
      <c r="H42" s="206"/>
      <c r="I42" s="206"/>
      <c r="J42" s="206"/>
      <c r="K42" s="206"/>
      <c r="L42" s="206"/>
      <c r="M42" s="206"/>
      <c r="N42" s="206"/>
      <c r="O42" s="206"/>
      <c r="P42" s="206"/>
      <c r="Q42" s="206"/>
      <c r="R42" s="206"/>
      <c r="S42" s="206"/>
      <c r="T42" s="206"/>
      <c r="U42" s="206"/>
      <c r="V42" s="206"/>
      <c r="W42" s="206"/>
      <c r="X42" s="206"/>
      <c r="Y42" s="206"/>
      <c r="Z42" s="206"/>
      <c r="AA42" s="206"/>
      <c r="AB42" s="206"/>
      <c r="AC42" s="206"/>
      <c r="AD42" s="206"/>
      <c r="AE42" s="206"/>
      <c r="AF42" s="206"/>
      <c r="AG42" s="206"/>
      <c r="AH42" s="206"/>
      <c r="AI42" s="206"/>
      <c r="AJ42" s="206"/>
      <c r="AK42" s="206"/>
      <c r="AL42" s="206"/>
      <c r="AM42" s="206"/>
      <c r="AN42" s="206"/>
      <c r="AO42" s="206"/>
      <c r="AP42" s="206"/>
      <c r="AQ42" s="206"/>
      <c r="AR42" s="206"/>
      <c r="AS42" s="206"/>
      <c r="AT42" s="206"/>
      <c r="AU42" s="206"/>
      <c r="AV42" s="206"/>
      <c r="AW42" s="206"/>
      <c r="AX42" s="206"/>
      <c r="AY42" s="206"/>
      <c r="AZ42" s="206"/>
      <c r="BA42" s="206"/>
      <c r="BB42" s="206"/>
      <c r="BC42" s="206"/>
      <c r="BD42" s="206"/>
      <c r="BE42" s="206"/>
      <c r="BF42" s="206"/>
      <c r="BG42" s="206"/>
      <c r="BH42" s="206"/>
      <c r="BI42" s="206"/>
      <c r="BJ42" s="206"/>
      <c r="BK42" s="206"/>
      <c r="BL42" s="206"/>
      <c r="BM42" s="206"/>
      <c r="BN42" s="206"/>
      <c r="BO42" s="206"/>
      <c r="BP42" s="206"/>
      <c r="BQ42" s="206"/>
      <c r="BR42" s="206"/>
      <c r="BS42" s="206"/>
      <c r="BT42" s="206"/>
      <c r="BU42" s="206"/>
      <c r="BV42" s="206"/>
      <c r="BW42" s="206"/>
      <c r="BX42" s="206"/>
      <c r="BY42" s="206"/>
      <c r="BZ42" s="206"/>
      <c r="CA42" s="206"/>
      <c r="CB42" s="206"/>
      <c r="CC42" s="206"/>
      <c r="CD42" s="206"/>
      <c r="CE42" s="206"/>
      <c r="CF42" s="206"/>
      <c r="CG42" s="206"/>
      <c r="CH42" s="206"/>
      <c r="CI42" s="206"/>
      <c r="CJ42" s="206"/>
      <c r="CK42" s="206"/>
      <c r="CL42" s="206"/>
      <c r="CM42" s="262"/>
    </row>
    <row r="43" spans="1:91">
      <c r="A43" s="201"/>
      <c r="B43" s="202"/>
      <c r="C43" s="202"/>
      <c r="D43" s="202"/>
      <c r="E43" s="202"/>
      <c r="F43" s="202"/>
      <c r="G43" s="202"/>
      <c r="H43" s="202"/>
      <c r="I43" s="202"/>
      <c r="J43" s="202"/>
      <c r="K43" s="202"/>
      <c r="L43" s="202"/>
      <c r="M43" s="202"/>
      <c r="N43" s="202"/>
      <c r="O43" s="202"/>
      <c r="P43" s="202"/>
      <c r="Q43" s="202"/>
      <c r="R43" s="202"/>
      <c r="S43" s="202"/>
      <c r="T43" s="202"/>
      <c r="U43" s="202"/>
      <c r="V43" s="202"/>
      <c r="W43" s="202"/>
      <c r="X43" s="202"/>
      <c r="Y43" s="202"/>
      <c r="AH43" s="202" t="s">
        <v>283</v>
      </c>
      <c r="AI43" s="202"/>
      <c r="AJ43" s="202"/>
      <c r="AK43" s="202"/>
      <c r="AL43" s="202"/>
      <c r="AM43" s="202"/>
      <c r="AN43" s="202"/>
      <c r="AO43" s="202"/>
      <c r="AP43" s="202"/>
      <c r="AQ43" s="202"/>
      <c r="AR43" s="202"/>
      <c r="AS43" s="202"/>
      <c r="AT43" s="202"/>
      <c r="AU43" s="202"/>
      <c r="AV43" s="202"/>
      <c r="AW43" s="202"/>
      <c r="AX43" s="202"/>
      <c r="AY43" s="202"/>
      <c r="AZ43" s="202"/>
      <c r="BA43" s="202"/>
      <c r="BB43" s="202"/>
      <c r="BC43" s="202"/>
      <c r="BD43" s="202"/>
      <c r="BE43" s="202"/>
      <c r="BF43" s="202"/>
      <c r="BG43" s="202"/>
      <c r="BH43" s="202"/>
      <c r="BI43" s="202"/>
      <c r="BJ43" s="202"/>
      <c r="BK43" s="202"/>
      <c r="BL43" s="202"/>
      <c r="BM43" s="202"/>
      <c r="BN43" s="202"/>
      <c r="BO43" s="202"/>
      <c r="BP43" s="202"/>
      <c r="BQ43" s="202"/>
      <c r="BR43" s="202"/>
      <c r="BS43" s="202"/>
      <c r="BT43" s="202"/>
      <c r="BU43" s="202"/>
      <c r="BV43" s="202"/>
      <c r="BW43" s="202"/>
      <c r="BX43" s="202"/>
      <c r="BY43" s="202"/>
      <c r="BZ43" s="202"/>
      <c r="CA43" s="202"/>
      <c r="CB43" s="202"/>
      <c r="CC43" s="202"/>
      <c r="CD43" s="202"/>
      <c r="CE43" s="202"/>
      <c r="CF43" s="202"/>
      <c r="CG43" s="202"/>
      <c r="CH43" s="202"/>
      <c r="CI43" s="202"/>
      <c r="CJ43" s="202"/>
      <c r="CK43" s="202"/>
      <c r="CL43" s="202"/>
      <c r="CM43" s="260"/>
    </row>
    <row r="44" s="177" customFormat="1" ht="8.25" spans="1:91">
      <c r="A44" s="203" t="s">
        <v>5</v>
      </c>
      <c r="B44" s="204"/>
      <c r="C44" s="204"/>
      <c r="D44" s="204"/>
      <c r="E44" s="204"/>
      <c r="F44" s="204"/>
      <c r="G44" s="204"/>
      <c r="H44" s="204"/>
      <c r="I44" s="204"/>
      <c r="J44" s="204"/>
      <c r="K44" s="204"/>
      <c r="L44" s="204"/>
      <c r="M44" s="204"/>
      <c r="N44" s="204"/>
      <c r="O44" s="204"/>
      <c r="P44" s="204"/>
      <c r="Q44" s="204"/>
      <c r="R44" s="204"/>
      <c r="S44" s="204"/>
      <c r="T44" s="204"/>
      <c r="U44" s="204"/>
      <c r="V44" s="204"/>
      <c r="W44" s="204"/>
      <c r="X44" s="204"/>
      <c r="Y44" s="204"/>
      <c r="AH44" s="204" t="s">
        <v>270</v>
      </c>
      <c r="AI44" s="204"/>
      <c r="AJ44" s="204"/>
      <c r="AK44" s="204"/>
      <c r="AL44" s="204"/>
      <c r="AM44" s="204"/>
      <c r="AN44" s="204"/>
      <c r="AO44" s="204"/>
      <c r="AP44" s="204"/>
      <c r="AQ44" s="204"/>
      <c r="AR44" s="204"/>
      <c r="AS44" s="204"/>
      <c r="AT44" s="204"/>
      <c r="AU44" s="204"/>
      <c r="AV44" s="204"/>
      <c r="AW44" s="204"/>
      <c r="AX44" s="204"/>
      <c r="AY44" s="204"/>
      <c r="AZ44" s="204"/>
      <c r="BA44" s="204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  <c r="BZ44" s="204"/>
      <c r="CA44" s="204"/>
      <c r="CB44" s="204"/>
      <c r="CC44" s="204"/>
      <c r="CD44" s="204"/>
      <c r="CE44" s="204"/>
      <c r="CF44" s="204"/>
      <c r="CG44" s="204"/>
      <c r="CH44" s="204"/>
      <c r="CI44" s="204"/>
      <c r="CJ44" s="204"/>
      <c r="CK44" s="204"/>
      <c r="CL44" s="204"/>
      <c r="CM44" s="261"/>
    </row>
    <row r="45" spans="1:91">
      <c r="A45" s="200"/>
      <c r="CM45" s="259"/>
    </row>
    <row r="46" spans="1:91">
      <c r="A46" s="207" t="s">
        <v>277</v>
      </c>
      <c r="B46" s="208"/>
      <c r="C46" s="197"/>
      <c r="D46" s="197"/>
      <c r="E46" s="197"/>
      <c r="F46" s="179" t="s">
        <v>277</v>
      </c>
      <c r="I46" s="197"/>
      <c r="J46" s="197"/>
      <c r="K46" s="197"/>
      <c r="L46" s="197"/>
      <c r="M46" s="197"/>
      <c r="N46" s="197"/>
      <c r="O46" s="197"/>
      <c r="P46" s="197"/>
      <c r="Q46" s="197"/>
      <c r="R46" s="197"/>
      <c r="S46" s="197"/>
      <c r="T46" s="197"/>
      <c r="U46" s="197"/>
      <c r="V46" s="197"/>
      <c r="W46" s="197"/>
      <c r="X46" s="208">
        <v>20</v>
      </c>
      <c r="Y46" s="208"/>
      <c r="Z46" s="208"/>
      <c r="AA46" s="236"/>
      <c r="AB46" s="236"/>
      <c r="AC46" s="236"/>
      <c r="AD46" s="179" t="s">
        <v>213</v>
      </c>
      <c r="CM46" s="259"/>
    </row>
    <row r="47" ht="3" customHeight="1" spans="1:91">
      <c r="A47" s="209"/>
      <c r="B47" s="210"/>
      <c r="C47" s="210"/>
      <c r="D47" s="210"/>
      <c r="E47" s="210"/>
      <c r="F47" s="210"/>
      <c r="G47" s="210"/>
      <c r="H47" s="210"/>
      <c r="I47" s="210"/>
      <c r="J47" s="210"/>
      <c r="K47" s="210"/>
      <c r="L47" s="210"/>
      <c r="M47" s="210"/>
      <c r="N47" s="210"/>
      <c r="O47" s="210"/>
      <c r="P47" s="210"/>
      <c r="Q47" s="210"/>
      <c r="R47" s="210"/>
      <c r="S47" s="210"/>
      <c r="T47" s="210"/>
      <c r="U47" s="210"/>
      <c r="V47" s="210"/>
      <c r="W47" s="210"/>
      <c r="X47" s="210"/>
      <c r="Y47" s="210"/>
      <c r="Z47" s="210"/>
      <c r="AA47" s="210"/>
      <c r="AB47" s="210"/>
      <c r="AC47" s="210"/>
      <c r="AD47" s="210"/>
      <c r="AE47" s="210"/>
      <c r="AF47" s="210"/>
      <c r="AG47" s="210"/>
      <c r="AH47" s="210"/>
      <c r="AI47" s="210"/>
      <c r="AJ47" s="210"/>
      <c r="AK47" s="210"/>
      <c r="AL47" s="210"/>
      <c r="AM47" s="210"/>
      <c r="AN47" s="210"/>
      <c r="AO47" s="210"/>
      <c r="AP47" s="210"/>
      <c r="AQ47" s="210"/>
      <c r="AR47" s="210"/>
      <c r="AS47" s="210"/>
      <c r="AT47" s="210"/>
      <c r="AU47" s="210"/>
      <c r="AV47" s="210"/>
      <c r="AW47" s="210"/>
      <c r="AX47" s="210"/>
      <c r="AY47" s="210"/>
      <c r="AZ47" s="210"/>
      <c r="BA47" s="210"/>
      <c r="BB47" s="210"/>
      <c r="BC47" s="210"/>
      <c r="BD47" s="210"/>
      <c r="BE47" s="210"/>
      <c r="BF47" s="210"/>
      <c r="BG47" s="210"/>
      <c r="BH47" s="210"/>
      <c r="BI47" s="210"/>
      <c r="BJ47" s="210"/>
      <c r="BK47" s="210"/>
      <c r="BL47" s="210"/>
      <c r="BM47" s="210"/>
      <c r="BN47" s="210"/>
      <c r="BO47" s="210"/>
      <c r="BP47" s="210"/>
      <c r="BQ47" s="210"/>
      <c r="BR47" s="210"/>
      <c r="BS47" s="210"/>
      <c r="BT47" s="210"/>
      <c r="BU47" s="210"/>
      <c r="BV47" s="210"/>
      <c r="BW47" s="210"/>
      <c r="BX47" s="210"/>
      <c r="BY47" s="210"/>
      <c r="BZ47" s="210"/>
      <c r="CA47" s="210"/>
      <c r="CB47" s="210"/>
      <c r="CC47" s="210"/>
      <c r="CD47" s="210"/>
      <c r="CE47" s="210"/>
      <c r="CF47" s="210"/>
      <c r="CG47" s="210"/>
      <c r="CH47" s="210"/>
      <c r="CI47" s="210"/>
      <c r="CJ47" s="210"/>
      <c r="CK47" s="210"/>
      <c r="CL47" s="210"/>
      <c r="CM47" s="263"/>
    </row>
    <row r="48" spans="1:25">
      <c r="A48" s="199"/>
      <c r="B48" s="199"/>
      <c r="C48" s="199"/>
      <c r="D48" s="199"/>
      <c r="E48" s="199"/>
      <c r="F48" s="199"/>
      <c r="G48" s="199"/>
      <c r="H48" s="199"/>
      <c r="I48" s="199"/>
      <c r="J48" s="199"/>
      <c r="K48" s="199"/>
      <c r="L48" s="199"/>
      <c r="M48" s="199"/>
      <c r="N48" s="199"/>
      <c r="O48" s="199"/>
      <c r="P48" s="199"/>
      <c r="Q48" s="199"/>
      <c r="R48" s="199"/>
      <c r="S48" s="199"/>
      <c r="T48" s="199"/>
      <c r="U48" s="199"/>
      <c r="V48" s="199"/>
      <c r="W48" s="199"/>
      <c r="X48" s="199"/>
      <c r="Y48" s="199"/>
    </row>
    <row r="49" s="178" customFormat="1" ht="12" customHeight="1" spans="1:1">
      <c r="A49" s="211"/>
    </row>
    <row r="50" s="178" customFormat="1" ht="40.5" customHeight="1" spans="1:161">
      <c r="A50" s="212"/>
      <c r="B50" s="213"/>
      <c r="C50" s="213"/>
      <c r="D50" s="213"/>
      <c r="E50" s="213"/>
      <c r="F50" s="213"/>
      <c r="G50" s="213"/>
      <c r="H50" s="213"/>
      <c r="I50" s="213"/>
      <c r="J50" s="213"/>
      <c r="K50" s="213"/>
      <c r="L50" s="213"/>
      <c r="M50" s="213"/>
      <c r="N50" s="213"/>
      <c r="O50" s="213"/>
      <c r="P50" s="213"/>
      <c r="Q50" s="213"/>
      <c r="R50" s="213"/>
      <c r="S50" s="213"/>
      <c r="T50" s="213"/>
      <c r="U50" s="213"/>
      <c r="V50" s="213"/>
      <c r="W50" s="213"/>
      <c r="X50" s="213"/>
      <c r="Y50" s="213"/>
      <c r="Z50" s="213"/>
      <c r="AA50" s="213"/>
      <c r="AB50" s="213"/>
      <c r="AC50" s="213"/>
      <c r="AD50" s="213"/>
      <c r="AE50" s="213"/>
      <c r="AF50" s="213"/>
      <c r="AG50" s="213"/>
      <c r="AH50" s="213"/>
      <c r="AI50" s="213"/>
      <c r="AJ50" s="213"/>
      <c r="AK50" s="213"/>
      <c r="AL50" s="213"/>
      <c r="AM50" s="213"/>
      <c r="AN50" s="213"/>
      <c r="AO50" s="213"/>
      <c r="AP50" s="213"/>
      <c r="AQ50" s="213"/>
      <c r="AR50" s="213"/>
      <c r="AS50" s="213"/>
      <c r="AT50" s="213"/>
      <c r="AU50" s="213"/>
      <c r="AV50" s="213"/>
      <c r="AW50" s="213"/>
      <c r="AX50" s="213"/>
      <c r="AY50" s="213"/>
      <c r="AZ50" s="213"/>
      <c r="BA50" s="213"/>
      <c r="BB50" s="213"/>
      <c r="BC50" s="213"/>
      <c r="BD50" s="213"/>
      <c r="BE50" s="213"/>
      <c r="BF50" s="213"/>
      <c r="BG50" s="213"/>
      <c r="BH50" s="213"/>
      <c r="BI50" s="213"/>
      <c r="BJ50" s="213"/>
      <c r="BK50" s="213"/>
      <c r="BL50" s="213"/>
      <c r="BM50" s="213"/>
      <c r="BN50" s="213"/>
      <c r="BO50" s="213"/>
      <c r="BP50" s="213"/>
      <c r="BQ50" s="213"/>
      <c r="BR50" s="213"/>
      <c r="BS50" s="213"/>
      <c r="BT50" s="213"/>
      <c r="BU50" s="213"/>
      <c r="BV50" s="213"/>
      <c r="BW50" s="213"/>
      <c r="BX50" s="213"/>
      <c r="BY50" s="213"/>
      <c r="BZ50" s="213"/>
      <c r="CA50" s="213"/>
      <c r="CB50" s="213"/>
      <c r="CC50" s="213"/>
      <c r="CD50" s="213"/>
      <c r="CE50" s="213"/>
      <c r="CF50" s="213"/>
      <c r="CG50" s="213"/>
      <c r="CH50" s="213"/>
      <c r="CI50" s="213"/>
      <c r="CJ50" s="213"/>
      <c r="CK50" s="213"/>
      <c r="CL50" s="213"/>
      <c r="CM50" s="213"/>
      <c r="CN50" s="213"/>
      <c r="CO50" s="213"/>
      <c r="CP50" s="213"/>
      <c r="CQ50" s="213"/>
      <c r="CR50" s="213"/>
      <c r="CS50" s="213"/>
      <c r="CT50" s="213"/>
      <c r="CU50" s="213"/>
      <c r="CV50" s="213"/>
      <c r="CW50" s="213"/>
      <c r="CX50" s="213"/>
      <c r="CY50" s="213"/>
      <c r="CZ50" s="213"/>
      <c r="DA50" s="213"/>
      <c r="DB50" s="213"/>
      <c r="DC50" s="213"/>
      <c r="DD50" s="213"/>
      <c r="DE50" s="213"/>
      <c r="DF50" s="213"/>
      <c r="DG50" s="213"/>
      <c r="DH50" s="213"/>
      <c r="DI50" s="213"/>
      <c r="DJ50" s="213"/>
      <c r="DK50" s="213"/>
      <c r="DL50" s="213"/>
      <c r="DM50" s="213"/>
      <c r="DN50" s="213"/>
      <c r="DO50" s="213"/>
      <c r="DP50" s="213"/>
      <c r="DQ50" s="213"/>
      <c r="DR50" s="213"/>
      <c r="DS50" s="213"/>
      <c r="DT50" s="213"/>
      <c r="DU50" s="213"/>
      <c r="DV50" s="213"/>
      <c r="DW50" s="213"/>
      <c r="DX50" s="213"/>
      <c r="DY50" s="213"/>
      <c r="DZ50" s="213"/>
      <c r="EA50" s="213"/>
      <c r="EB50" s="213"/>
      <c r="EC50" s="213"/>
      <c r="ED50" s="213"/>
      <c r="EE50" s="213"/>
      <c r="EF50" s="213"/>
      <c r="EG50" s="213"/>
      <c r="EH50" s="213"/>
      <c r="EI50" s="213"/>
      <c r="EJ50" s="213"/>
      <c r="EK50" s="213"/>
      <c r="EL50" s="213"/>
      <c r="EM50" s="213"/>
      <c r="EN50" s="213"/>
      <c r="EO50" s="213"/>
      <c r="EP50" s="213"/>
      <c r="EQ50" s="213"/>
      <c r="ER50" s="213"/>
      <c r="ES50" s="213"/>
      <c r="ET50" s="213"/>
      <c r="EU50" s="213"/>
      <c r="EV50" s="213"/>
      <c r="EW50" s="213"/>
      <c r="EX50" s="213"/>
      <c r="EY50" s="213"/>
      <c r="EZ50" s="213"/>
      <c r="FA50" s="213"/>
      <c r="FB50" s="213"/>
      <c r="FC50" s="213"/>
      <c r="FD50" s="213"/>
      <c r="FE50" s="213"/>
    </row>
    <row r="51" s="178" customFormat="1" ht="21" customHeight="1" spans="1:161">
      <c r="A51" s="214"/>
      <c r="B51" s="214"/>
      <c r="C51" s="214"/>
      <c r="D51" s="214"/>
      <c r="E51" s="214"/>
      <c r="F51" s="214"/>
      <c r="G51" s="214"/>
      <c r="H51" s="214"/>
      <c r="I51" s="214"/>
      <c r="J51" s="214"/>
      <c r="K51" s="214"/>
      <c r="L51" s="214"/>
      <c r="M51" s="214"/>
      <c r="N51" s="214"/>
      <c r="O51" s="214"/>
      <c r="P51" s="214"/>
      <c r="Q51" s="214"/>
      <c r="R51" s="214"/>
      <c r="S51" s="214"/>
      <c r="T51" s="214"/>
      <c r="U51" s="214"/>
      <c r="V51" s="214"/>
      <c r="W51" s="214"/>
      <c r="X51" s="214"/>
      <c r="Y51" s="214"/>
      <c r="Z51" s="214"/>
      <c r="AA51" s="214"/>
      <c r="AB51" s="214"/>
      <c r="AC51" s="214"/>
      <c r="AD51" s="214"/>
      <c r="AE51" s="214"/>
      <c r="AF51" s="214"/>
      <c r="AG51" s="214"/>
      <c r="AH51" s="214"/>
      <c r="AI51" s="214"/>
      <c r="AJ51" s="214"/>
      <c r="AK51" s="214"/>
      <c r="AL51" s="214"/>
      <c r="AM51" s="214"/>
      <c r="AN51" s="214"/>
      <c r="AO51" s="214"/>
      <c r="AP51" s="214"/>
      <c r="AQ51" s="214"/>
      <c r="AR51" s="214"/>
      <c r="AS51" s="214"/>
      <c r="AT51" s="214"/>
      <c r="AU51" s="214"/>
      <c r="AV51" s="214"/>
      <c r="AW51" s="214"/>
      <c r="AX51" s="214"/>
      <c r="AY51" s="214"/>
      <c r="AZ51" s="214"/>
      <c r="BA51" s="214"/>
      <c r="BB51" s="214"/>
      <c r="BC51" s="214"/>
      <c r="BD51" s="214"/>
      <c r="BE51" s="214"/>
      <c r="BF51" s="214"/>
      <c r="BG51" s="214"/>
      <c r="BH51" s="214"/>
      <c r="BI51" s="214"/>
      <c r="BJ51" s="214"/>
      <c r="BK51" s="214"/>
      <c r="BL51" s="214"/>
      <c r="BM51" s="214"/>
      <c r="BN51" s="214"/>
      <c r="BO51" s="214"/>
      <c r="BP51" s="214"/>
      <c r="BQ51" s="214"/>
      <c r="BR51" s="214"/>
      <c r="BS51" s="214"/>
      <c r="BT51" s="214"/>
      <c r="BU51" s="214"/>
      <c r="BV51" s="214"/>
      <c r="BW51" s="214"/>
      <c r="BX51" s="214"/>
      <c r="BY51" s="214"/>
      <c r="BZ51" s="214"/>
      <c r="CA51" s="214"/>
      <c r="CB51" s="214"/>
      <c r="CC51" s="214"/>
      <c r="CD51" s="214"/>
      <c r="CE51" s="214"/>
      <c r="CF51" s="214"/>
      <c r="CG51" s="214"/>
      <c r="CH51" s="214"/>
      <c r="CI51" s="214"/>
      <c r="CJ51" s="214"/>
      <c r="CK51" s="214"/>
      <c r="CL51" s="214"/>
      <c r="CM51" s="214"/>
      <c r="CN51" s="214"/>
      <c r="CO51" s="214"/>
      <c r="CP51" s="214"/>
      <c r="CQ51" s="214"/>
      <c r="CR51" s="214"/>
      <c r="CS51" s="214"/>
      <c r="CT51" s="214"/>
      <c r="CU51" s="214"/>
      <c r="CV51" s="214"/>
      <c r="CW51" s="214"/>
      <c r="CX51" s="214"/>
      <c r="CY51" s="214"/>
      <c r="CZ51" s="214"/>
      <c r="DA51" s="214"/>
      <c r="DB51" s="214"/>
      <c r="DC51" s="214"/>
      <c r="DD51" s="214"/>
      <c r="DE51" s="214"/>
      <c r="DF51" s="214"/>
      <c r="DG51" s="214"/>
      <c r="DH51" s="214"/>
      <c r="DI51" s="214"/>
      <c r="DJ51" s="214"/>
      <c r="DK51" s="214"/>
      <c r="DL51" s="214"/>
      <c r="DM51" s="214"/>
      <c r="DN51" s="214"/>
      <c r="DO51" s="214"/>
      <c r="DP51" s="214"/>
      <c r="DQ51" s="214"/>
      <c r="DR51" s="214"/>
      <c r="DS51" s="214"/>
      <c r="DT51" s="214"/>
      <c r="DU51" s="214"/>
      <c r="DV51" s="214"/>
      <c r="DW51" s="214"/>
      <c r="DX51" s="214"/>
      <c r="DY51" s="214"/>
      <c r="DZ51" s="214"/>
      <c r="EA51" s="214"/>
      <c r="EB51" s="214"/>
      <c r="EC51" s="214"/>
      <c r="ED51" s="214"/>
      <c r="EE51" s="214"/>
      <c r="EF51" s="214"/>
      <c r="EG51" s="214"/>
      <c r="EH51" s="214"/>
      <c r="EI51" s="214"/>
      <c r="EJ51" s="214"/>
      <c r="EK51" s="214"/>
      <c r="EL51" s="214"/>
      <c r="EM51" s="214"/>
      <c r="EN51" s="214"/>
      <c r="EO51" s="214"/>
      <c r="EP51" s="214"/>
      <c r="EQ51" s="214"/>
      <c r="ER51" s="214"/>
      <c r="ES51" s="214"/>
      <c r="ET51" s="214"/>
      <c r="EU51" s="214"/>
      <c r="EV51" s="214"/>
      <c r="EW51" s="214"/>
      <c r="EX51" s="214"/>
      <c r="EY51" s="214"/>
      <c r="EZ51" s="214"/>
      <c r="FA51" s="214"/>
      <c r="FB51" s="214"/>
      <c r="FC51" s="214"/>
      <c r="FD51" s="214"/>
      <c r="FE51" s="214"/>
    </row>
    <row r="52" s="178" customFormat="1" customHeight="1" spans="1:1">
      <c r="A52" s="211"/>
    </row>
    <row r="53" s="178" customFormat="1" customHeight="1" spans="1:1">
      <c r="A53" s="211"/>
    </row>
    <row r="54" s="178" customFormat="1" customHeight="1" spans="1:1">
      <c r="A54" s="211"/>
    </row>
    <row r="55" s="178" customFormat="1" ht="20.25" customHeight="1" spans="1:161">
      <c r="A55" s="215"/>
      <c r="B55" s="216"/>
      <c r="C55" s="216"/>
      <c r="D55" s="216"/>
      <c r="E55" s="216"/>
      <c r="F55" s="216"/>
      <c r="G55" s="216"/>
      <c r="H55" s="216"/>
      <c r="I55" s="216"/>
      <c r="J55" s="216"/>
      <c r="K55" s="216"/>
      <c r="L55" s="216"/>
      <c r="M55" s="216"/>
      <c r="N55" s="216"/>
      <c r="O55" s="216"/>
      <c r="P55" s="216"/>
      <c r="Q55" s="216"/>
      <c r="R55" s="216"/>
      <c r="S55" s="216"/>
      <c r="T55" s="216"/>
      <c r="U55" s="216"/>
      <c r="V55" s="216"/>
      <c r="W55" s="216"/>
      <c r="X55" s="216"/>
      <c r="Y55" s="216"/>
      <c r="Z55" s="216"/>
      <c r="AA55" s="216"/>
      <c r="AB55" s="216"/>
      <c r="AC55" s="216"/>
      <c r="AD55" s="216"/>
      <c r="AE55" s="216"/>
      <c r="AF55" s="216"/>
      <c r="AG55" s="216"/>
      <c r="AH55" s="216"/>
      <c r="AI55" s="216"/>
      <c r="AJ55" s="216"/>
      <c r="AK55" s="216"/>
      <c r="AL55" s="216"/>
      <c r="AM55" s="216"/>
      <c r="AN55" s="216"/>
      <c r="AO55" s="216"/>
      <c r="AP55" s="216"/>
      <c r="AQ55" s="216"/>
      <c r="AR55" s="216"/>
      <c r="AS55" s="216"/>
      <c r="AT55" s="216"/>
      <c r="AU55" s="216"/>
      <c r="AV55" s="216"/>
      <c r="AW55" s="216"/>
      <c r="AX55" s="216"/>
      <c r="AY55" s="216"/>
      <c r="AZ55" s="216"/>
      <c r="BA55" s="216"/>
      <c r="BB55" s="216"/>
      <c r="BC55" s="216"/>
      <c r="BD55" s="216"/>
      <c r="BE55" s="216"/>
      <c r="BF55" s="216"/>
      <c r="BG55" s="216"/>
      <c r="BH55" s="216"/>
      <c r="BI55" s="216"/>
      <c r="BJ55" s="216"/>
      <c r="BK55" s="216"/>
      <c r="BL55" s="216"/>
      <c r="BM55" s="216"/>
      <c r="BN55" s="216"/>
      <c r="BO55" s="216"/>
      <c r="BP55" s="216"/>
      <c r="BQ55" s="216"/>
      <c r="BR55" s="216"/>
      <c r="BS55" s="216"/>
      <c r="BT55" s="216"/>
      <c r="BU55" s="216"/>
      <c r="BV55" s="216"/>
      <c r="BW55" s="216"/>
      <c r="BX55" s="216"/>
      <c r="BY55" s="216"/>
      <c r="BZ55" s="216"/>
      <c r="CA55" s="216"/>
      <c r="CB55" s="216"/>
      <c r="CC55" s="216"/>
      <c r="CD55" s="216"/>
      <c r="CE55" s="216"/>
      <c r="CF55" s="216"/>
      <c r="CG55" s="216"/>
      <c r="CH55" s="216"/>
      <c r="CI55" s="216"/>
      <c r="CJ55" s="216"/>
      <c r="CK55" s="216"/>
      <c r="CL55" s="216"/>
      <c r="CM55" s="216"/>
      <c r="CN55" s="216"/>
      <c r="CO55" s="216"/>
      <c r="CP55" s="216"/>
      <c r="CQ55" s="216"/>
      <c r="CR55" s="216"/>
      <c r="CS55" s="216"/>
      <c r="CT55" s="216"/>
      <c r="CU55" s="216"/>
      <c r="CV55" s="216"/>
      <c r="CW55" s="216"/>
      <c r="CX55" s="216"/>
      <c r="CY55" s="216"/>
      <c r="CZ55" s="216"/>
      <c r="DA55" s="216"/>
      <c r="DB55" s="216"/>
      <c r="DC55" s="216"/>
      <c r="DD55" s="216"/>
      <c r="DE55" s="216"/>
      <c r="DF55" s="216"/>
      <c r="DG55" s="216"/>
      <c r="DH55" s="216"/>
      <c r="DI55" s="216"/>
      <c r="DJ55" s="216"/>
      <c r="DK55" s="216"/>
      <c r="DL55" s="216"/>
      <c r="DM55" s="216"/>
      <c r="DN55" s="216"/>
      <c r="DO55" s="216"/>
      <c r="DP55" s="216"/>
      <c r="DQ55" s="216"/>
      <c r="DR55" s="216"/>
      <c r="DS55" s="216"/>
      <c r="DT55" s="216"/>
      <c r="DU55" s="216"/>
      <c r="DV55" s="216"/>
      <c r="DW55" s="216"/>
      <c r="DX55" s="216"/>
      <c r="DY55" s="216"/>
      <c r="DZ55" s="216"/>
      <c r="EA55" s="216"/>
      <c r="EB55" s="216"/>
      <c r="EC55" s="216"/>
      <c r="ED55" s="216"/>
      <c r="EE55" s="216"/>
      <c r="EF55" s="216"/>
      <c r="EG55" s="216"/>
      <c r="EH55" s="216"/>
      <c r="EI55" s="216"/>
      <c r="EJ55" s="216"/>
      <c r="EK55" s="216"/>
      <c r="EL55" s="216"/>
      <c r="EM55" s="216"/>
      <c r="EN55" s="216"/>
      <c r="EO55" s="216"/>
      <c r="EP55" s="216"/>
      <c r="EQ55" s="216"/>
      <c r="ER55" s="216"/>
      <c r="ES55" s="216"/>
      <c r="ET55" s="216"/>
      <c r="EU55" s="216"/>
      <c r="EV55" s="216"/>
      <c r="EW55" s="216"/>
      <c r="EX55" s="216"/>
      <c r="EY55" s="216"/>
      <c r="EZ55" s="216"/>
      <c r="FA55" s="216"/>
      <c r="FB55" s="216"/>
      <c r="FC55" s="216"/>
      <c r="FD55" s="216"/>
      <c r="FE55" s="216"/>
    </row>
    <row r="56" ht="3" customHeight="1"/>
  </sheetData>
  <mergeCells count="214">
    <mergeCell ref="B1:FD1"/>
    <mergeCell ref="DF3:FE3"/>
    <mergeCell ref="DF4:DK4"/>
    <mergeCell ref="DL4:DN4"/>
    <mergeCell ref="DO4:DR4"/>
    <mergeCell ref="DS4:DX4"/>
    <mergeCell ref="DY4:EA4"/>
    <mergeCell ref="EB4:EE4"/>
    <mergeCell ref="EF4:EK4"/>
    <mergeCell ref="EL4:EN4"/>
    <mergeCell ref="EO4:ER4"/>
    <mergeCell ref="DF5:DR5"/>
    <mergeCell ref="DS5:EE5"/>
    <mergeCell ref="EF5:ER5"/>
    <mergeCell ref="A6:H6"/>
    <mergeCell ref="I6:CM6"/>
    <mergeCell ref="CN6:CU6"/>
    <mergeCell ref="CV6:DE6"/>
    <mergeCell ref="DF6:DR6"/>
    <mergeCell ref="DS6:EE6"/>
    <mergeCell ref="EF6:ER6"/>
    <mergeCell ref="ES6:FE6"/>
    <mergeCell ref="A7:H7"/>
    <mergeCell ref="I7:CM7"/>
    <mergeCell ref="CN7:CU7"/>
    <mergeCell ref="CV7:DE7"/>
    <mergeCell ref="DF7:DR7"/>
    <mergeCell ref="DS7:EE7"/>
    <mergeCell ref="EF7:ER7"/>
    <mergeCell ref="ES7:FE7"/>
    <mergeCell ref="A8:H8"/>
    <mergeCell ref="I8:CM8"/>
    <mergeCell ref="CN8:CU8"/>
    <mergeCell ref="CV8:DE8"/>
    <mergeCell ref="DF8:DR8"/>
    <mergeCell ref="DS8:EE8"/>
    <mergeCell ref="EF8:ER8"/>
    <mergeCell ref="ES8:FE8"/>
    <mergeCell ref="A9:H9"/>
    <mergeCell ref="I9:CM9"/>
    <mergeCell ref="CN9:CU9"/>
    <mergeCell ref="CV9:DE9"/>
    <mergeCell ref="DF9:DR9"/>
    <mergeCell ref="DS9:EE9"/>
    <mergeCell ref="EF9:ER9"/>
    <mergeCell ref="ES9:FE9"/>
    <mergeCell ref="A10:H10"/>
    <mergeCell ref="I10:CM10"/>
    <mergeCell ref="CN10:CU10"/>
    <mergeCell ref="CV10:DE10"/>
    <mergeCell ref="DF10:DR10"/>
    <mergeCell ref="DS10:EE10"/>
    <mergeCell ref="EF10:ER10"/>
    <mergeCell ref="ES10:FE10"/>
    <mergeCell ref="A11:H11"/>
    <mergeCell ref="I11:CM11"/>
    <mergeCell ref="CN11:CU11"/>
    <mergeCell ref="CV11:DE11"/>
    <mergeCell ref="DF11:DR11"/>
    <mergeCell ref="DS11:EE11"/>
    <mergeCell ref="EF11:ER11"/>
    <mergeCell ref="ES11:FE11"/>
    <mergeCell ref="A12:H12"/>
    <mergeCell ref="I12:CM12"/>
    <mergeCell ref="CN12:CU12"/>
    <mergeCell ref="CV12:DE12"/>
    <mergeCell ref="DF12:DR12"/>
    <mergeCell ref="DS12:EE12"/>
    <mergeCell ref="EF12:ER12"/>
    <mergeCell ref="ES12:FE12"/>
    <mergeCell ref="A13:H13"/>
    <mergeCell ref="I13:CM13"/>
    <mergeCell ref="CN13:CU13"/>
    <mergeCell ref="CV13:DE13"/>
    <mergeCell ref="DF13:DR13"/>
    <mergeCell ref="DS13:EE13"/>
    <mergeCell ref="EF13:ER13"/>
    <mergeCell ref="ES13:FE13"/>
    <mergeCell ref="A14:H14"/>
    <mergeCell ref="I14:CM14"/>
    <mergeCell ref="CN14:CU14"/>
    <mergeCell ref="CV14:DE14"/>
    <mergeCell ref="DF14:DR14"/>
    <mergeCell ref="DS14:EE14"/>
    <mergeCell ref="EF14:ER14"/>
    <mergeCell ref="ES14:FE14"/>
    <mergeCell ref="A15:H15"/>
    <mergeCell ref="I15:CM15"/>
    <mergeCell ref="CN15:CU15"/>
    <mergeCell ref="CV15:DE15"/>
    <mergeCell ref="DF15:DR15"/>
    <mergeCell ref="DS15:EE15"/>
    <mergeCell ref="EF15:ER15"/>
    <mergeCell ref="ES15:FE15"/>
    <mergeCell ref="A16:H16"/>
    <mergeCell ref="I16:CM16"/>
    <mergeCell ref="CN16:CU16"/>
    <mergeCell ref="CV16:DE16"/>
    <mergeCell ref="DF16:DR16"/>
    <mergeCell ref="DS16:EE16"/>
    <mergeCell ref="EF16:ER16"/>
    <mergeCell ref="ES16:FE16"/>
    <mergeCell ref="A17:H17"/>
    <mergeCell ref="I17:CM17"/>
    <mergeCell ref="CN17:CU17"/>
    <mergeCell ref="CV17:DE17"/>
    <mergeCell ref="DF17:DR17"/>
    <mergeCell ref="DS17:EE17"/>
    <mergeCell ref="EF17:ER17"/>
    <mergeCell ref="ES17:FE17"/>
    <mergeCell ref="A18:H18"/>
    <mergeCell ref="I18:CM18"/>
    <mergeCell ref="CN18:CU18"/>
    <mergeCell ref="CV18:DE18"/>
    <mergeCell ref="DF18:DR18"/>
    <mergeCell ref="DS18:EE18"/>
    <mergeCell ref="EF18:ER18"/>
    <mergeCell ref="ES18:FE18"/>
    <mergeCell ref="A19:H19"/>
    <mergeCell ref="I19:CM19"/>
    <mergeCell ref="CN19:CU19"/>
    <mergeCell ref="CV19:DE19"/>
    <mergeCell ref="DF19:DR19"/>
    <mergeCell ref="DS19:EE19"/>
    <mergeCell ref="EF19:ER19"/>
    <mergeCell ref="ES19:FE19"/>
    <mergeCell ref="A20:H20"/>
    <mergeCell ref="I20:CM20"/>
    <mergeCell ref="CN20:CU20"/>
    <mergeCell ref="CV20:DE20"/>
    <mergeCell ref="DF20:DR20"/>
    <mergeCell ref="DS20:EE20"/>
    <mergeCell ref="EF20:ER20"/>
    <mergeCell ref="ES20:FE20"/>
    <mergeCell ref="A21:H21"/>
    <mergeCell ref="I21:CM21"/>
    <mergeCell ref="CN21:CU21"/>
    <mergeCell ref="CV21:DE21"/>
    <mergeCell ref="DF21:DR21"/>
    <mergeCell ref="DS21:EE21"/>
    <mergeCell ref="EF21:ER21"/>
    <mergeCell ref="ES21:FE21"/>
    <mergeCell ref="A22:H22"/>
    <mergeCell ref="I22:CM22"/>
    <mergeCell ref="CN22:CU22"/>
    <mergeCell ref="CV22:DE22"/>
    <mergeCell ref="DF22:DR22"/>
    <mergeCell ref="DS22:EE22"/>
    <mergeCell ref="EF22:ER22"/>
    <mergeCell ref="ES22:FE22"/>
    <mergeCell ref="I23:CM23"/>
    <mergeCell ref="I24:CM24"/>
    <mergeCell ref="A25:H25"/>
    <mergeCell ref="I25:CM25"/>
    <mergeCell ref="CN25:CU25"/>
    <mergeCell ref="CV25:DE25"/>
    <mergeCell ref="DF25:DR25"/>
    <mergeCell ref="DS25:EE25"/>
    <mergeCell ref="EF25:ER25"/>
    <mergeCell ref="ES25:FE25"/>
    <mergeCell ref="I26:CM26"/>
    <mergeCell ref="I27:CM27"/>
    <mergeCell ref="AQ30:BH30"/>
    <mergeCell ref="BK30:BV30"/>
    <mergeCell ref="BY30:CR30"/>
    <mergeCell ref="AQ31:BH31"/>
    <mergeCell ref="BK31:BV31"/>
    <mergeCell ref="BY31:CR31"/>
    <mergeCell ref="AM33:BD33"/>
    <mergeCell ref="BG33:BX33"/>
    <mergeCell ref="CA33:CR33"/>
    <mergeCell ref="AM34:BD34"/>
    <mergeCell ref="BG34:BX34"/>
    <mergeCell ref="CA34:CR34"/>
    <mergeCell ref="I36:J36"/>
    <mergeCell ref="K36:M36"/>
    <mergeCell ref="N36:O36"/>
    <mergeCell ref="Q36:AE36"/>
    <mergeCell ref="AF36:AH36"/>
    <mergeCell ref="AI36:AK36"/>
    <mergeCell ref="A40:CM40"/>
    <mergeCell ref="A41:CM41"/>
    <mergeCell ref="A43:Y43"/>
    <mergeCell ref="AH43:CM43"/>
    <mergeCell ref="A44:Y44"/>
    <mergeCell ref="AH44:CM44"/>
    <mergeCell ref="A46:B46"/>
    <mergeCell ref="C46:E46"/>
    <mergeCell ref="F46:G46"/>
    <mergeCell ref="I46:W46"/>
    <mergeCell ref="X46:Z46"/>
    <mergeCell ref="AA46:AC46"/>
    <mergeCell ref="A50:FE50"/>
    <mergeCell ref="A51:FE51"/>
    <mergeCell ref="A55:FE55"/>
    <mergeCell ref="A3:H5"/>
    <mergeCell ref="I3:CM5"/>
    <mergeCell ref="CN3:CU5"/>
    <mergeCell ref="CV3:DE5"/>
    <mergeCell ref="ES4:FE5"/>
    <mergeCell ref="A23:H24"/>
    <mergeCell ref="CN23:CU24"/>
    <mergeCell ref="CV23:DE24"/>
    <mergeCell ref="DF23:DR24"/>
    <mergeCell ref="DS23:EE24"/>
    <mergeCell ref="EF23:ER24"/>
    <mergeCell ref="ES23:FE24"/>
    <mergeCell ref="A26:H27"/>
    <mergeCell ref="CN26:CU27"/>
    <mergeCell ref="CV26:DE27"/>
    <mergeCell ref="DF26:DR27"/>
    <mergeCell ref="DS26:EE27"/>
    <mergeCell ref="EF26:ER27"/>
    <mergeCell ref="ES26:FE27"/>
  </mergeCells>
  <pageMargins left="0.377708333333333" right="0.18375" top="0.357291666666667" bottom="0.31496062992126" header="0.196850393700787" footer="0.196850393700787"/>
  <pageSetup paperSize="9" scale="71" orientation="portrait"/>
  <headerFooter alignWithMargins="0"/>
  <rowBreaks count="1" manualBreakCount="1">
    <brk id="49" max="160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L27"/>
  <sheetViews>
    <sheetView showGridLines="0" zoomScaleSheetLayoutView="80" topLeftCell="A19" workbookViewId="0">
      <selection activeCell="G21" sqref="G21"/>
    </sheetView>
  </sheetViews>
  <sheetFormatPr defaultColWidth="9.14285714285714" defaultRowHeight="15"/>
  <cols>
    <col min="1" max="1" width="30" style="117" customWidth="1"/>
    <col min="2" max="10" width="13.2857142857143" style="117" customWidth="1"/>
    <col min="11" max="16384" width="9.14285714285714" style="117"/>
  </cols>
  <sheetData>
    <row r="1" ht="31.5" customHeight="1" spans="9:64">
      <c r="I1" s="154" t="s">
        <v>284</v>
      </c>
      <c r="J1" s="15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74"/>
      <c r="AB1" s="174"/>
      <c r="AC1" s="174"/>
      <c r="AD1" s="174"/>
      <c r="AE1" s="174"/>
      <c r="AF1" s="174"/>
      <c r="AG1" s="174"/>
      <c r="AH1" s="174"/>
      <c r="AI1" s="174"/>
      <c r="AJ1" s="174"/>
      <c r="AK1" s="174"/>
      <c r="AL1" s="174"/>
      <c r="AM1" s="174"/>
      <c r="AN1" s="174"/>
      <c r="AO1" s="174"/>
      <c r="AP1" s="174"/>
      <c r="AQ1" s="174"/>
      <c r="AR1" s="174"/>
      <c r="AS1" s="174"/>
      <c r="AT1" s="174"/>
      <c r="AU1" s="174"/>
      <c r="AV1" s="174"/>
      <c r="AW1" s="174"/>
      <c r="AX1" s="174"/>
      <c r="AY1" s="174"/>
      <c r="AZ1" s="174"/>
      <c r="BA1" s="174"/>
      <c r="BB1" s="174"/>
      <c r="BC1" s="174"/>
      <c r="BD1" s="174"/>
      <c r="BE1" s="174"/>
      <c r="BF1" s="174"/>
      <c r="BG1" s="174"/>
      <c r="BH1" s="174"/>
      <c r="BI1" s="174"/>
      <c r="BJ1" s="174"/>
      <c r="BK1" s="174"/>
      <c r="BL1" s="174"/>
    </row>
    <row r="2" ht="166.5" customHeight="1" spans="8:10">
      <c r="H2" s="155" t="s">
        <v>285</v>
      </c>
      <c r="I2" s="155"/>
      <c r="J2" s="155"/>
    </row>
    <row r="3" ht="21.75" customHeight="1" spans="1:10">
      <c r="A3" s="119" t="s">
        <v>286</v>
      </c>
      <c r="B3" s="119"/>
      <c r="C3" s="119"/>
      <c r="D3" s="119"/>
      <c r="E3" s="119"/>
      <c r="F3" s="119"/>
      <c r="G3" s="119"/>
      <c r="H3" s="119"/>
      <c r="I3" s="119"/>
      <c r="J3" s="119"/>
    </row>
    <row r="4" ht="45" customHeight="1" spans="1:10">
      <c r="A4" s="161" t="s">
        <v>287</v>
      </c>
      <c r="B4" s="162" t="s">
        <v>288</v>
      </c>
      <c r="C4" s="163"/>
      <c r="D4" s="164"/>
      <c r="E4" s="162" t="s">
        <v>289</v>
      </c>
      <c r="F4" s="163"/>
      <c r="G4" s="164"/>
      <c r="H4" s="162" t="s">
        <v>290</v>
      </c>
      <c r="I4" s="163"/>
      <c r="J4" s="164"/>
    </row>
    <row r="5" ht="69.75" customHeight="1" spans="1:10">
      <c r="A5" s="165"/>
      <c r="B5" s="121" t="s">
        <v>291</v>
      </c>
      <c r="C5" s="121" t="s">
        <v>292</v>
      </c>
      <c r="D5" s="121" t="s">
        <v>293</v>
      </c>
      <c r="E5" s="121" t="s">
        <v>291</v>
      </c>
      <c r="F5" s="121" t="s">
        <v>292</v>
      </c>
      <c r="G5" s="121" t="s">
        <v>293</v>
      </c>
      <c r="H5" s="121" t="s">
        <v>291</v>
      </c>
      <c r="I5" s="121" t="s">
        <v>292</v>
      </c>
      <c r="J5" s="121" t="s">
        <v>293</v>
      </c>
    </row>
    <row r="6" ht="31.5" customHeight="1" spans="1:10">
      <c r="A6" s="121" t="s">
        <v>294</v>
      </c>
      <c r="B6" s="121" t="s">
        <v>295</v>
      </c>
      <c r="C6" s="121" t="s">
        <v>295</v>
      </c>
      <c r="D6" s="121" t="s">
        <v>295</v>
      </c>
      <c r="E6" s="121" t="s">
        <v>295</v>
      </c>
      <c r="F6" s="121" t="s">
        <v>295</v>
      </c>
      <c r="G6" s="121" t="s">
        <v>295</v>
      </c>
      <c r="H6" s="129">
        <v>0</v>
      </c>
      <c r="I6" s="129">
        <v>0</v>
      </c>
      <c r="J6" s="129">
        <v>0</v>
      </c>
    </row>
    <row r="7" ht="104.25" customHeight="1" spans="1:10">
      <c r="A7" s="121" t="s">
        <v>296</v>
      </c>
      <c r="B7" s="121" t="s">
        <v>295</v>
      </c>
      <c r="C7" s="121" t="s">
        <v>295</v>
      </c>
      <c r="D7" s="121" t="s">
        <v>295</v>
      </c>
      <c r="E7" s="121" t="s">
        <v>295</v>
      </c>
      <c r="F7" s="121" t="s">
        <v>295</v>
      </c>
      <c r="G7" s="121" t="s">
        <v>295</v>
      </c>
      <c r="H7" s="129"/>
      <c r="I7" s="129"/>
      <c r="J7" s="129"/>
    </row>
    <row r="8" s="160" customFormat="1" ht="30" spans="1:10">
      <c r="A8" s="166" t="s">
        <v>297</v>
      </c>
      <c r="B8" s="121" t="s">
        <v>295</v>
      </c>
      <c r="C8" s="121" t="s">
        <v>295</v>
      </c>
      <c r="D8" s="121" t="s">
        <v>295</v>
      </c>
      <c r="E8" s="121" t="s">
        <v>295</v>
      </c>
      <c r="F8" s="121" t="s">
        <v>295</v>
      </c>
      <c r="G8" s="121" t="s">
        <v>295</v>
      </c>
      <c r="H8" s="170">
        <f>SUM(H10:H10)</f>
        <v>0</v>
      </c>
      <c r="I8" s="170">
        <f>SUM(I10:I10)</f>
        <v>0</v>
      </c>
      <c r="J8" s="170">
        <f>SUM(J10:J10)</f>
        <v>0</v>
      </c>
    </row>
    <row r="9" s="160" customFormat="1" ht="13.5" customHeight="1" spans="1:10">
      <c r="A9" s="171" t="s">
        <v>54</v>
      </c>
      <c r="B9" s="170"/>
      <c r="C9" s="170"/>
      <c r="D9" s="170"/>
      <c r="E9" s="170"/>
      <c r="F9" s="170"/>
      <c r="G9" s="170"/>
      <c r="H9" s="170"/>
      <c r="I9" s="170"/>
      <c r="J9" s="170"/>
    </row>
    <row r="10" ht="23.25" customHeight="1" spans="1:10">
      <c r="A10" s="121" t="s">
        <v>298</v>
      </c>
      <c r="B10" s="132"/>
      <c r="C10" s="132"/>
      <c r="D10" s="132"/>
      <c r="E10" s="132"/>
      <c r="F10" s="132"/>
      <c r="G10" s="132"/>
      <c r="H10" s="132">
        <f>B10*E10</f>
        <v>0</v>
      </c>
      <c r="I10" s="132">
        <f>C10*F10</f>
        <v>0</v>
      </c>
      <c r="J10" s="132">
        <f t="shared" ref="J10" si="0">D10*G10</f>
        <v>0</v>
      </c>
    </row>
    <row r="11" s="160" customFormat="1" spans="1:10">
      <c r="A11" s="166" t="s">
        <v>299</v>
      </c>
      <c r="B11" s="121" t="s">
        <v>295</v>
      </c>
      <c r="C11" s="121" t="s">
        <v>295</v>
      </c>
      <c r="D11" s="121" t="s">
        <v>295</v>
      </c>
      <c r="E11" s="121" t="s">
        <v>295</v>
      </c>
      <c r="F11" s="121" t="s">
        <v>295</v>
      </c>
      <c r="G11" s="121" t="s">
        <v>295</v>
      </c>
      <c r="H11" s="170">
        <f>SUM(H13:H13)</f>
        <v>0</v>
      </c>
      <c r="I11" s="170">
        <f>SUM(I13:I13)</f>
        <v>0</v>
      </c>
      <c r="J11" s="170">
        <f>SUM(J13:J13)</f>
        <v>0</v>
      </c>
    </row>
    <row r="12" s="160" customFormat="1" ht="12.75" customHeight="1" spans="1:10">
      <c r="A12" s="171" t="s">
        <v>54</v>
      </c>
      <c r="B12" s="170"/>
      <c r="C12" s="170"/>
      <c r="D12" s="170"/>
      <c r="E12" s="170"/>
      <c r="F12" s="170"/>
      <c r="G12" s="170"/>
      <c r="H12" s="170"/>
      <c r="I12" s="170"/>
      <c r="J12" s="170"/>
    </row>
    <row r="13" ht="24" customHeight="1" spans="1:10">
      <c r="A13" s="121" t="s">
        <v>298</v>
      </c>
      <c r="B13" s="132"/>
      <c r="C13" s="132"/>
      <c r="D13" s="132"/>
      <c r="E13" s="132"/>
      <c r="F13" s="132"/>
      <c r="G13" s="132"/>
      <c r="H13" s="132">
        <f>B13*E13</f>
        <v>0</v>
      </c>
      <c r="I13" s="132">
        <f t="shared" ref="I13:J13" si="1">C13*F13</f>
        <v>0</v>
      </c>
      <c r="J13" s="132">
        <f t="shared" si="1"/>
        <v>0</v>
      </c>
    </row>
    <row r="14" s="118" customFormat="1" ht="24" customHeight="1" spans="1:10">
      <c r="A14" s="173" t="s">
        <v>300</v>
      </c>
      <c r="B14" s="121" t="s">
        <v>295</v>
      </c>
      <c r="C14" s="121" t="s">
        <v>295</v>
      </c>
      <c r="D14" s="121" t="s">
        <v>295</v>
      </c>
      <c r="E14" s="121" t="s">
        <v>295</v>
      </c>
      <c r="F14" s="121" t="s">
        <v>295</v>
      </c>
      <c r="G14" s="121" t="s">
        <v>295</v>
      </c>
      <c r="H14" s="158">
        <f>H8+H11+H6+H7</f>
        <v>0</v>
      </c>
      <c r="I14" s="158">
        <f>I8+I11+I6+I7</f>
        <v>0</v>
      </c>
      <c r="J14" s="158">
        <f>J8+J11+J6+J7</f>
        <v>0</v>
      </c>
    </row>
    <row r="18" ht="16.5" customHeight="1" spans="1:21">
      <c r="A18" s="117" t="s">
        <v>267</v>
      </c>
      <c r="C18" s="146" t="str">
        <f>'план '!K5</f>
        <v>Заведующий</v>
      </c>
      <c r="D18" s="147"/>
      <c r="E18" s="146"/>
      <c r="F18" s="147"/>
      <c r="G18" s="146" t="str">
        <f>'план '!K9</f>
        <v>Измайлова Н.В.</v>
      </c>
      <c r="H18" s="146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24"/>
    </row>
    <row r="19" ht="17.25" customHeight="1" spans="1:21">
      <c r="A19" s="117" t="s">
        <v>268</v>
      </c>
      <c r="C19" s="149" t="s">
        <v>269</v>
      </c>
      <c r="D19" s="150"/>
      <c r="E19" s="149" t="s">
        <v>5</v>
      </c>
      <c r="F19" s="150"/>
      <c r="G19" s="153" t="s">
        <v>270</v>
      </c>
      <c r="H19" s="153"/>
      <c r="I19" s="150"/>
      <c r="J19" s="150"/>
      <c r="K19" s="150"/>
      <c r="L19" s="150"/>
      <c r="M19" s="150"/>
      <c r="N19" s="150"/>
      <c r="O19" s="150"/>
      <c r="P19" s="150"/>
      <c r="Q19" s="150"/>
      <c r="R19" s="150"/>
      <c r="S19" s="150"/>
      <c r="T19" s="150"/>
      <c r="U19" s="124"/>
    </row>
    <row r="20" spans="1:1">
      <c r="A20" s="151"/>
    </row>
    <row r="21" spans="3:8">
      <c r="C21" s="146" t="str">
        <f>закупки!AM33</f>
        <v>Гл.бухгалтер</v>
      </c>
      <c r="D21" s="147"/>
      <c r="E21" s="146" t="str">
        <f>закупки!BG33</f>
        <v>Родионова Н.А.</v>
      </c>
      <c r="F21" s="147"/>
      <c r="G21" s="152" t="str">
        <f>закупки!CA33</f>
        <v>31-55-99</v>
      </c>
      <c r="H21" s="146"/>
    </row>
    <row r="22" spans="1:8">
      <c r="A22" s="117" t="s">
        <v>271</v>
      </c>
      <c r="C22" s="149" t="s">
        <v>269</v>
      </c>
      <c r="D22" s="150"/>
      <c r="E22" s="149" t="s">
        <v>275</v>
      </c>
      <c r="F22" s="150"/>
      <c r="G22" s="153" t="s">
        <v>276</v>
      </c>
      <c r="H22" s="153"/>
    </row>
    <row r="27" spans="1:5">
      <c r="A27" s="151" t="str">
        <f>'план '!K11</f>
        <v>"17" июня 2020</v>
      </c>
      <c r="B27" s="151"/>
      <c r="C27" s="151"/>
      <c r="D27" s="151"/>
      <c r="E27" s="151"/>
    </row>
  </sheetData>
  <mergeCells count="12">
    <mergeCell ref="I1:J1"/>
    <mergeCell ref="H2:J2"/>
    <mergeCell ref="A3:J3"/>
    <mergeCell ref="B4:D4"/>
    <mergeCell ref="E4:G4"/>
    <mergeCell ref="H4:J4"/>
    <mergeCell ref="A18:B18"/>
    <mergeCell ref="A19:B19"/>
    <mergeCell ref="G19:H19"/>
    <mergeCell ref="G22:H22"/>
    <mergeCell ref="A27:E27"/>
    <mergeCell ref="A4:A5"/>
  </mergeCells>
  <pageMargins left="0.31496062992126" right="0.31496062992126" top="0.551181102362205" bottom="0.551181102362205" header="0.31496062992126" footer="0.31496062992126"/>
  <pageSetup paperSize="9" scale="65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30"/>
  <sheetViews>
    <sheetView showGridLines="0" view="pageBreakPreview" zoomScaleNormal="100" topLeftCell="A12" workbookViewId="0">
      <selection activeCell="G5" sqref="G5"/>
    </sheetView>
  </sheetViews>
  <sheetFormatPr defaultColWidth="9.14285714285714" defaultRowHeight="15"/>
  <cols>
    <col min="1" max="1" width="32.1428571428571" style="117" customWidth="1"/>
    <col min="2" max="2" width="12.4285714285714" style="117" customWidth="1"/>
    <col min="3" max="3" width="12" style="117" customWidth="1"/>
    <col min="4" max="10" width="13.2857142857143" style="117" customWidth="1"/>
    <col min="11" max="16384" width="9.14285714285714" style="117"/>
  </cols>
  <sheetData>
    <row r="1" ht="18.75" hidden="1" customHeight="1" spans="9:10">
      <c r="I1" s="154" t="s">
        <v>301</v>
      </c>
      <c r="J1" s="154"/>
    </row>
    <row r="2" ht="139.5" hidden="1" customHeight="1" spans="8:10">
      <c r="H2" s="155" t="s">
        <v>302</v>
      </c>
      <c r="I2" s="155"/>
      <c r="J2" s="155"/>
    </row>
    <row r="3" ht="26.25" customHeight="1" spans="1:10">
      <c r="A3" s="119" t="s">
        <v>303</v>
      </c>
      <c r="B3" s="119"/>
      <c r="C3" s="119"/>
      <c r="D3" s="119"/>
      <c r="E3" s="119"/>
      <c r="F3" s="119"/>
      <c r="G3" s="119"/>
      <c r="H3" s="119"/>
      <c r="I3" s="119"/>
      <c r="J3" s="119"/>
    </row>
    <row r="4" ht="45" customHeight="1" spans="1:10">
      <c r="A4" s="161" t="s">
        <v>287</v>
      </c>
      <c r="B4" s="162" t="s">
        <v>289</v>
      </c>
      <c r="C4" s="163"/>
      <c r="D4" s="164"/>
      <c r="E4" s="162" t="s">
        <v>304</v>
      </c>
      <c r="F4" s="163"/>
      <c r="G4" s="164"/>
      <c r="H4" s="162" t="s">
        <v>290</v>
      </c>
      <c r="I4" s="163"/>
      <c r="J4" s="164"/>
    </row>
    <row r="5" ht="60" spans="1:10">
      <c r="A5" s="165"/>
      <c r="B5" s="121" t="s">
        <v>291</v>
      </c>
      <c r="C5" s="121" t="s">
        <v>292</v>
      </c>
      <c r="D5" s="121" t="s">
        <v>305</v>
      </c>
      <c r="E5" s="121" t="s">
        <v>291</v>
      </c>
      <c r="F5" s="121" t="s">
        <v>292</v>
      </c>
      <c r="G5" s="121" t="s">
        <v>305</v>
      </c>
      <c r="H5" s="121" t="s">
        <v>291</v>
      </c>
      <c r="I5" s="121" t="s">
        <v>292</v>
      </c>
      <c r="J5" s="121" t="s">
        <v>305</v>
      </c>
    </row>
    <row r="6" ht="31.5" customHeight="1" spans="1:10">
      <c r="A6" s="121" t="s">
        <v>294</v>
      </c>
      <c r="B6" s="121" t="s">
        <v>295</v>
      </c>
      <c r="C6" s="121" t="s">
        <v>295</v>
      </c>
      <c r="D6" s="121" t="s">
        <v>295</v>
      </c>
      <c r="E6" s="121" t="s">
        <v>295</v>
      </c>
      <c r="F6" s="121" t="s">
        <v>295</v>
      </c>
      <c r="G6" s="121" t="s">
        <v>295</v>
      </c>
      <c r="H6" s="129">
        <v>0</v>
      </c>
      <c r="I6" s="129">
        <v>0</v>
      </c>
      <c r="J6" s="129">
        <v>0</v>
      </c>
    </row>
    <row r="7" ht="75.75" customHeight="1" spans="1:10">
      <c r="A7" s="121" t="s">
        <v>296</v>
      </c>
      <c r="B7" s="121" t="s">
        <v>295</v>
      </c>
      <c r="C7" s="121" t="s">
        <v>295</v>
      </c>
      <c r="D7" s="121" t="s">
        <v>295</v>
      </c>
      <c r="E7" s="121" t="s">
        <v>295</v>
      </c>
      <c r="F7" s="121" t="s">
        <v>295</v>
      </c>
      <c r="G7" s="121" t="s">
        <v>295</v>
      </c>
      <c r="H7" s="129">
        <v>0</v>
      </c>
      <c r="I7" s="129"/>
      <c r="J7" s="129"/>
    </row>
    <row r="8" s="160" customFormat="1" ht="22.5" customHeight="1" spans="1:10">
      <c r="A8" s="166" t="s">
        <v>297</v>
      </c>
      <c r="B8" s="167"/>
      <c r="C8" s="168"/>
      <c r="D8" s="168"/>
      <c r="E8" s="168"/>
      <c r="F8" s="168"/>
      <c r="G8" s="169"/>
      <c r="H8" s="170">
        <f>SUM(H10:H10)</f>
        <v>749228.40999</v>
      </c>
      <c r="I8" s="170">
        <f>SUM(I10:I10)</f>
        <v>749228.40999</v>
      </c>
      <c r="J8" s="170">
        <f>SUM(J10:J10)</f>
        <v>749228.40999</v>
      </c>
    </row>
    <row r="9" s="160" customFormat="1" ht="12" customHeight="1" spans="1:10">
      <c r="A9" s="171" t="s">
        <v>54</v>
      </c>
      <c r="B9" s="170"/>
      <c r="C9" s="170"/>
      <c r="D9" s="170"/>
      <c r="E9" s="170"/>
      <c r="F9" s="170"/>
      <c r="G9" s="170"/>
      <c r="H9" s="170"/>
      <c r="I9" s="170"/>
      <c r="J9" s="170"/>
    </row>
    <row r="10" ht="60" spans="1:10">
      <c r="A10" s="171" t="s">
        <v>306</v>
      </c>
      <c r="B10" s="132">
        <f>SUM(B11:B15)</f>
        <v>79092.463</v>
      </c>
      <c r="C10" s="132">
        <f t="shared" ref="C10:G10" si="0">SUM(C11:C15)</f>
        <v>79092.463</v>
      </c>
      <c r="D10" s="132">
        <f t="shared" si="0"/>
        <v>79092.463</v>
      </c>
      <c r="E10" s="132">
        <f t="shared" si="0"/>
        <v>2026.24</v>
      </c>
      <c r="F10" s="132">
        <f t="shared" si="0"/>
        <v>2026.24</v>
      </c>
      <c r="G10" s="132">
        <f t="shared" si="0"/>
        <v>2026.24</v>
      </c>
      <c r="H10" s="132">
        <f t="shared" ref="H10" si="1">SUM(H11:H15)</f>
        <v>749228.40999</v>
      </c>
      <c r="I10" s="132">
        <f t="shared" ref="I10" si="2">SUM(I11:I15)</f>
        <v>749228.40999</v>
      </c>
      <c r="J10" s="132">
        <f t="shared" ref="J10" si="3">SUM(J11:J15)</f>
        <v>749228.40999</v>
      </c>
    </row>
    <row r="11" s="117" customFormat="1" spans="1:10">
      <c r="A11" s="172" t="s">
        <v>307</v>
      </c>
      <c r="B11" s="132">
        <v>76850</v>
      </c>
      <c r="C11" s="132">
        <v>76850</v>
      </c>
      <c r="D11" s="132">
        <v>76850</v>
      </c>
      <c r="E11" s="132">
        <v>7.25</v>
      </c>
      <c r="F11" s="132">
        <v>7.25</v>
      </c>
      <c r="G11" s="132">
        <v>7.25</v>
      </c>
      <c r="H11" s="132">
        <f>B11*E11</f>
        <v>557162.5</v>
      </c>
      <c r="I11" s="132">
        <f t="shared" ref="I11:I14" si="4">C11*F11</f>
        <v>557162.5</v>
      </c>
      <c r="J11" s="132">
        <f t="shared" ref="J11:J14" si="5">D11*G11</f>
        <v>557162.5</v>
      </c>
    </row>
    <row r="12" s="117" customFormat="1" spans="1:10">
      <c r="A12" s="172" t="s">
        <v>308</v>
      </c>
      <c r="B12" s="132">
        <v>26.396</v>
      </c>
      <c r="C12" s="132">
        <v>26.396</v>
      </c>
      <c r="D12" s="132">
        <v>26.396</v>
      </c>
      <c r="E12" s="132">
        <v>1777.43</v>
      </c>
      <c r="F12" s="132">
        <v>1777.43</v>
      </c>
      <c r="G12" s="132">
        <v>1777.43</v>
      </c>
      <c r="H12" s="132">
        <f t="shared" ref="H12:H14" si="6">B12*E12</f>
        <v>46917.04228</v>
      </c>
      <c r="I12" s="132">
        <f t="shared" si="4"/>
        <v>46917.04228</v>
      </c>
      <c r="J12" s="132">
        <f t="shared" si="5"/>
        <v>46917.04228</v>
      </c>
    </row>
    <row r="13" s="117" customFormat="1" spans="1:10">
      <c r="A13" s="172" t="s">
        <v>309</v>
      </c>
      <c r="B13" s="132">
        <v>557.214</v>
      </c>
      <c r="C13" s="132">
        <v>557.214</v>
      </c>
      <c r="D13" s="132">
        <v>557.214</v>
      </c>
      <c r="E13" s="132">
        <v>198.5</v>
      </c>
      <c r="F13" s="132">
        <v>198.5</v>
      </c>
      <c r="G13" s="132">
        <v>198.5</v>
      </c>
      <c r="H13" s="132">
        <f t="shared" si="6"/>
        <v>110606.979</v>
      </c>
      <c r="I13" s="132">
        <f t="shared" si="4"/>
        <v>110606.979</v>
      </c>
      <c r="J13" s="132">
        <f t="shared" si="5"/>
        <v>110606.979</v>
      </c>
    </row>
    <row r="14" s="117" customFormat="1" spans="1:10">
      <c r="A14" s="172" t="s">
        <v>310</v>
      </c>
      <c r="B14" s="132">
        <v>697.9</v>
      </c>
      <c r="C14" s="132">
        <v>697.9</v>
      </c>
      <c r="D14" s="132">
        <v>697.9</v>
      </c>
      <c r="E14" s="132">
        <v>25.99</v>
      </c>
      <c r="F14" s="132">
        <v>25.99</v>
      </c>
      <c r="G14" s="132">
        <v>25.99</v>
      </c>
      <c r="H14" s="132">
        <f t="shared" si="6"/>
        <v>18138.421</v>
      </c>
      <c r="I14" s="132">
        <f t="shared" si="4"/>
        <v>18138.421</v>
      </c>
      <c r="J14" s="132">
        <f t="shared" si="5"/>
        <v>18138.421</v>
      </c>
    </row>
    <row r="15" s="117" customFormat="1" spans="1:10">
      <c r="A15" s="172" t="s">
        <v>311</v>
      </c>
      <c r="B15" s="132">
        <v>960.953</v>
      </c>
      <c r="C15" s="132">
        <v>960.953</v>
      </c>
      <c r="D15" s="132">
        <v>960.953</v>
      </c>
      <c r="E15" s="132">
        <v>17.07</v>
      </c>
      <c r="F15" s="132">
        <v>17.07</v>
      </c>
      <c r="G15" s="132">
        <v>17.07</v>
      </c>
      <c r="H15" s="132">
        <f t="shared" ref="H15" si="7">B15*E15</f>
        <v>16403.46771</v>
      </c>
      <c r="I15" s="132">
        <f t="shared" ref="I15" si="8">C15*F15</f>
        <v>16403.46771</v>
      </c>
      <c r="J15" s="132">
        <f t="shared" ref="J15" si="9">D15*G15</f>
        <v>16403.46771</v>
      </c>
    </row>
    <row r="16" s="160" customFormat="1" ht="21" customHeight="1" spans="1:10">
      <c r="A16" s="166" t="s">
        <v>299</v>
      </c>
      <c r="B16" s="167"/>
      <c r="C16" s="168"/>
      <c r="D16" s="168"/>
      <c r="E16" s="168"/>
      <c r="F16" s="168"/>
      <c r="G16" s="169"/>
      <c r="H16" s="170">
        <f>SUM(H18:H18)</f>
        <v>0</v>
      </c>
      <c r="I16" s="170">
        <f>SUM(I18:I18)</f>
        <v>0</v>
      </c>
      <c r="J16" s="170">
        <f>SUM(J18:J18)</f>
        <v>0</v>
      </c>
    </row>
    <row r="17" s="160" customFormat="1" ht="12.75" customHeight="1" spans="1:10">
      <c r="A17" s="171" t="s">
        <v>54</v>
      </c>
      <c r="B17" s="170"/>
      <c r="C17" s="170"/>
      <c r="D17" s="170"/>
      <c r="E17" s="170"/>
      <c r="F17" s="170"/>
      <c r="G17" s="170"/>
      <c r="H17" s="170"/>
      <c r="I17" s="170"/>
      <c r="J17" s="170"/>
    </row>
    <row r="18" s="117" customFormat="1" spans="1:10">
      <c r="A18" s="121" t="s">
        <v>298</v>
      </c>
      <c r="B18" s="132"/>
      <c r="C18" s="132"/>
      <c r="D18" s="132"/>
      <c r="E18" s="132"/>
      <c r="F18" s="132"/>
      <c r="G18" s="132"/>
      <c r="H18" s="132">
        <f>B18*E18</f>
        <v>0</v>
      </c>
      <c r="I18" s="132">
        <f t="shared" ref="I18:J18" si="10">C18*F18</f>
        <v>0</v>
      </c>
      <c r="J18" s="132">
        <f t="shared" si="10"/>
        <v>0</v>
      </c>
    </row>
    <row r="19" s="118" customFormat="1" ht="31.5" customHeight="1" spans="1:10">
      <c r="A19" s="173" t="s">
        <v>300</v>
      </c>
      <c r="B19" s="121" t="s">
        <v>295</v>
      </c>
      <c r="C19" s="121" t="s">
        <v>295</v>
      </c>
      <c r="D19" s="121" t="s">
        <v>295</v>
      </c>
      <c r="E19" s="121" t="s">
        <v>295</v>
      </c>
      <c r="F19" s="121" t="s">
        <v>295</v>
      </c>
      <c r="G19" s="121" t="s">
        <v>295</v>
      </c>
      <c r="H19" s="158">
        <f>H8+H16+H7+H6</f>
        <v>749228.40999</v>
      </c>
      <c r="I19" s="158">
        <f>I8+I16+I7+I6</f>
        <v>749228.40999</v>
      </c>
      <c r="J19" s="158">
        <f>J8+J16+J7+J6</f>
        <v>749228.40999</v>
      </c>
    </row>
    <row r="21" ht="8.25" customHeight="1"/>
    <row r="22" ht="16.5" customHeight="1" spans="1:21">
      <c r="A22" s="117" t="s">
        <v>267</v>
      </c>
      <c r="C22" s="146" t="str">
        <f>закупки!AQ30</f>
        <v>Заведующий</v>
      </c>
      <c r="D22" s="147"/>
      <c r="E22" s="146"/>
      <c r="F22" s="147"/>
      <c r="G22" s="146" t="str">
        <f>аренда!G18</f>
        <v>Измайлова Н.В.</v>
      </c>
      <c r="H22" s="146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24"/>
    </row>
    <row r="23" ht="17.25" customHeight="1" spans="1:21">
      <c r="A23" s="117" t="s">
        <v>268</v>
      </c>
      <c r="C23" s="149" t="s">
        <v>269</v>
      </c>
      <c r="D23" s="150"/>
      <c r="E23" s="149" t="s">
        <v>5</v>
      </c>
      <c r="F23" s="150"/>
      <c r="G23" s="153" t="s">
        <v>270</v>
      </c>
      <c r="H23" s="153"/>
      <c r="I23" s="150"/>
      <c r="J23" s="150"/>
      <c r="K23" s="150"/>
      <c r="L23" s="150"/>
      <c r="M23" s="150"/>
      <c r="N23" s="150"/>
      <c r="O23" s="150"/>
      <c r="P23" s="150"/>
      <c r="Q23" s="150"/>
      <c r="R23" s="150"/>
      <c r="S23" s="150"/>
      <c r="T23" s="150"/>
      <c r="U23" s="124"/>
    </row>
    <row r="24" spans="1:1">
      <c r="A24" s="151"/>
    </row>
    <row r="25" spans="3:8">
      <c r="C25" s="146" t="str">
        <f>аренда!C21</f>
        <v>Гл.бухгалтер</v>
      </c>
      <c r="D25" s="147"/>
      <c r="E25" s="146" t="str">
        <f>аренда!E21</f>
        <v>Родионова Н.А.</v>
      </c>
      <c r="F25" s="147"/>
      <c r="G25" s="152" t="str">
        <f>аренда!G21</f>
        <v>31-55-99</v>
      </c>
      <c r="H25" s="146"/>
    </row>
    <row r="26" spans="1:8">
      <c r="A26" s="117" t="s">
        <v>271</v>
      </c>
      <c r="C26" s="149" t="s">
        <v>269</v>
      </c>
      <c r="D26" s="150"/>
      <c r="E26" s="149" t="s">
        <v>275</v>
      </c>
      <c r="F26" s="150"/>
      <c r="G26" s="153" t="s">
        <v>276</v>
      </c>
      <c r="H26" s="153"/>
    </row>
    <row r="28" ht="8.25" customHeight="1"/>
    <row r="29" ht="11.25" customHeight="1"/>
    <row r="30" spans="1:5">
      <c r="A30" s="151" t="str">
        <f>аренда!A27</f>
        <v>"17" июня 2020</v>
      </c>
      <c r="B30" s="151"/>
      <c r="C30" s="151"/>
      <c r="D30" s="151"/>
      <c r="E30" s="151"/>
    </row>
  </sheetData>
  <mergeCells count="14">
    <mergeCell ref="I1:J1"/>
    <mergeCell ref="H2:J2"/>
    <mergeCell ref="A3:J3"/>
    <mergeCell ref="B4:D4"/>
    <mergeCell ref="E4:G4"/>
    <mergeCell ref="H4:J4"/>
    <mergeCell ref="B8:G8"/>
    <mergeCell ref="B16:G16"/>
    <mergeCell ref="A22:B22"/>
    <mergeCell ref="A23:B23"/>
    <mergeCell ref="G23:H23"/>
    <mergeCell ref="G26:H26"/>
    <mergeCell ref="A30:E30"/>
    <mergeCell ref="A4:A5"/>
  </mergeCells>
  <pageMargins left="0.159375" right="0.1328125" top="0.551181102362205" bottom="0.551181102362205" header="0.31496062992126" footer="0.31496062992126"/>
  <pageSetup paperSize="9" scale="66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61"/>
  <sheetViews>
    <sheetView showGridLines="0" view="pageBreakPreview" zoomScale="82" zoomScaleNormal="100" topLeftCell="A27" workbookViewId="0">
      <selection activeCell="A61" sqref="A61:E61"/>
    </sheetView>
  </sheetViews>
  <sheetFormatPr defaultColWidth="9.14285714285714" defaultRowHeight="15"/>
  <cols>
    <col min="1" max="1" width="21.4285714285714" style="117" customWidth="1"/>
    <col min="2" max="3" width="11" style="117" customWidth="1"/>
    <col min="4" max="4" width="12.2857142857143" style="117" customWidth="1"/>
    <col min="5" max="8" width="9.14285714285714" style="117" customWidth="1"/>
    <col min="9" max="14" width="11.2857142857143" style="117" customWidth="1"/>
    <col min="15" max="17" width="12.1428571428571" style="117" customWidth="1"/>
    <col min="18" max="16384" width="9.14285714285714" style="117"/>
  </cols>
  <sheetData>
    <row r="1" ht="23.25" hidden="1" customHeight="1" spans="16:17">
      <c r="P1" s="154" t="s">
        <v>312</v>
      </c>
      <c r="Q1" s="154"/>
    </row>
    <row r="2" ht="147" hidden="1" customHeight="1" spans="15:17">
      <c r="O2" s="155" t="s">
        <v>313</v>
      </c>
      <c r="P2" s="155"/>
      <c r="Q2" s="155"/>
    </row>
    <row r="3" ht="21.75" customHeight="1" spans="1:17">
      <c r="A3" s="119" t="s">
        <v>314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</row>
    <row r="4" ht="14.25" customHeight="1" spans="1:17">
      <c r="A4" s="120" t="s">
        <v>287</v>
      </c>
      <c r="B4" s="121" t="s">
        <v>315</v>
      </c>
      <c r="C4" s="121"/>
      <c r="D4" s="121"/>
      <c r="E4" s="122" t="s">
        <v>316</v>
      </c>
      <c r="F4" s="120"/>
      <c r="G4" s="120"/>
      <c r="H4" s="123"/>
      <c r="I4" s="121" t="s">
        <v>317</v>
      </c>
      <c r="J4" s="121"/>
      <c r="K4" s="121"/>
      <c r="L4" s="121" t="s">
        <v>318</v>
      </c>
      <c r="M4" s="121"/>
      <c r="N4" s="121"/>
      <c r="O4" s="121" t="s">
        <v>290</v>
      </c>
      <c r="P4" s="121"/>
      <c r="Q4" s="121"/>
    </row>
    <row r="5" ht="25.5" customHeight="1" spans="1:17">
      <c r="A5" s="124"/>
      <c r="B5" s="121" t="s">
        <v>319</v>
      </c>
      <c r="C5" s="121"/>
      <c r="D5" s="121"/>
      <c r="E5" s="125"/>
      <c r="F5" s="126"/>
      <c r="G5" s="126"/>
      <c r="H5" s="127"/>
      <c r="I5" s="121"/>
      <c r="J5" s="121"/>
      <c r="K5" s="121"/>
      <c r="L5" s="121"/>
      <c r="M5" s="121"/>
      <c r="N5" s="121"/>
      <c r="O5" s="121"/>
      <c r="P5" s="121"/>
      <c r="Q5" s="121"/>
    </row>
    <row r="6" ht="138" customHeight="1" spans="1:17">
      <c r="A6" s="126"/>
      <c r="B6" s="121" t="s">
        <v>320</v>
      </c>
      <c r="C6" s="121" t="s">
        <v>321</v>
      </c>
      <c r="D6" s="121" t="s">
        <v>322</v>
      </c>
      <c r="E6" s="121" t="s">
        <v>320</v>
      </c>
      <c r="F6" s="121" t="s">
        <v>321</v>
      </c>
      <c r="G6" s="121" t="s">
        <v>322</v>
      </c>
      <c r="H6" s="121" t="s">
        <v>323</v>
      </c>
      <c r="I6" s="121" t="s">
        <v>291</v>
      </c>
      <c r="J6" s="121" t="s">
        <v>292</v>
      </c>
      <c r="K6" s="121" t="s">
        <v>293</v>
      </c>
      <c r="L6" s="121" t="s">
        <v>291</v>
      </c>
      <c r="M6" s="121" t="s">
        <v>292</v>
      </c>
      <c r="N6" s="121" t="s">
        <v>293</v>
      </c>
      <c r="O6" s="121" t="s">
        <v>291</v>
      </c>
      <c r="P6" s="121" t="s">
        <v>292</v>
      </c>
      <c r="Q6" s="121" t="s">
        <v>293</v>
      </c>
    </row>
    <row r="7" ht="46.5" customHeight="1" spans="1:17">
      <c r="A7" s="128" t="s">
        <v>324</v>
      </c>
      <c r="B7" s="129" t="s">
        <v>295</v>
      </c>
      <c r="C7" s="129" t="s">
        <v>295</v>
      </c>
      <c r="D7" s="129" t="s">
        <v>295</v>
      </c>
      <c r="E7" s="129" t="s">
        <v>295</v>
      </c>
      <c r="F7" s="129" t="s">
        <v>295</v>
      </c>
      <c r="G7" s="129" t="s">
        <v>295</v>
      </c>
      <c r="H7" s="129" t="s">
        <v>295</v>
      </c>
      <c r="I7" s="129" t="s">
        <v>295</v>
      </c>
      <c r="J7" s="129" t="s">
        <v>295</v>
      </c>
      <c r="K7" s="129" t="s">
        <v>295</v>
      </c>
      <c r="L7" s="129" t="s">
        <v>295</v>
      </c>
      <c r="M7" s="129" t="s">
        <v>295</v>
      </c>
      <c r="N7" s="129" t="s">
        <v>295</v>
      </c>
      <c r="O7" s="129">
        <v>271429.67</v>
      </c>
      <c r="P7" s="129">
        <v>271429.67</v>
      </c>
      <c r="Q7" s="129">
        <v>271429.67</v>
      </c>
    </row>
    <row r="8" ht="123" customHeight="1" spans="1:17">
      <c r="A8" s="128" t="s">
        <v>325</v>
      </c>
      <c r="B8" s="129" t="s">
        <v>295</v>
      </c>
      <c r="C8" s="129" t="s">
        <v>295</v>
      </c>
      <c r="D8" s="129" t="s">
        <v>295</v>
      </c>
      <c r="E8" s="129" t="s">
        <v>295</v>
      </c>
      <c r="F8" s="129" t="s">
        <v>295</v>
      </c>
      <c r="G8" s="129" t="s">
        <v>295</v>
      </c>
      <c r="H8" s="129" t="s">
        <v>295</v>
      </c>
      <c r="I8" s="129" t="s">
        <v>295</v>
      </c>
      <c r="J8" s="129" t="s">
        <v>295</v>
      </c>
      <c r="K8" s="129" t="s">
        <v>295</v>
      </c>
      <c r="L8" s="129" t="s">
        <v>295</v>
      </c>
      <c r="M8" s="129" t="s">
        <v>295</v>
      </c>
      <c r="N8" s="129" t="s">
        <v>295</v>
      </c>
      <c r="O8" s="156"/>
      <c r="P8" s="129"/>
      <c r="Q8" s="129"/>
    </row>
    <row r="9" ht="25.5" customHeight="1" spans="1:17">
      <c r="A9" s="130" t="s">
        <v>326</v>
      </c>
      <c r="B9" s="131">
        <v>66040</v>
      </c>
      <c r="C9" s="131">
        <v>76275</v>
      </c>
      <c r="D9" s="132">
        <v>59775</v>
      </c>
      <c r="E9" s="133">
        <v>72</v>
      </c>
      <c r="F9" s="133">
        <v>72</v>
      </c>
      <c r="G9" s="133">
        <v>72</v>
      </c>
      <c r="H9" s="133">
        <v>72</v>
      </c>
      <c r="I9" s="131">
        <v>10</v>
      </c>
      <c r="J9" s="131">
        <v>10</v>
      </c>
      <c r="K9" s="131">
        <v>10</v>
      </c>
      <c r="L9" s="132">
        <v>75</v>
      </c>
      <c r="M9" s="132">
        <v>75</v>
      </c>
      <c r="N9" s="132">
        <v>75</v>
      </c>
      <c r="O9" s="132">
        <f>I9*H9*L9</f>
        <v>54000</v>
      </c>
      <c r="P9" s="132">
        <f t="shared" ref="P9:P40" si="0">J9*H9*M9</f>
        <v>54000</v>
      </c>
      <c r="Q9" s="132">
        <f>K9*H9*N9</f>
        <v>54000</v>
      </c>
    </row>
    <row r="10" ht="21.75" customHeight="1" spans="1:17">
      <c r="A10" s="130" t="s">
        <v>327</v>
      </c>
      <c r="B10" s="131">
        <v>75900</v>
      </c>
      <c r="C10" s="131">
        <v>58800</v>
      </c>
      <c r="D10" s="132">
        <v>68160</v>
      </c>
      <c r="E10" s="133">
        <v>72</v>
      </c>
      <c r="F10" s="133">
        <v>72</v>
      </c>
      <c r="G10" s="133">
        <v>72</v>
      </c>
      <c r="H10" s="133">
        <v>72</v>
      </c>
      <c r="I10" s="132">
        <v>20</v>
      </c>
      <c r="J10" s="132">
        <v>20</v>
      </c>
      <c r="K10" s="132">
        <v>20</v>
      </c>
      <c r="L10" s="132">
        <v>60</v>
      </c>
      <c r="M10" s="132">
        <v>60</v>
      </c>
      <c r="N10" s="132">
        <v>60</v>
      </c>
      <c r="O10" s="132">
        <f t="shared" ref="O10:O40" si="1">I10*H10*L10</f>
        <v>86400</v>
      </c>
      <c r="P10" s="132">
        <f t="shared" si="0"/>
        <v>86400</v>
      </c>
      <c r="Q10" s="132">
        <f t="shared" ref="Q10:Q33" si="2">K10*H10*N10</f>
        <v>86400</v>
      </c>
    </row>
    <row r="11" ht="20.25" customHeight="1" spans="1:17">
      <c r="A11" s="130" t="s">
        <v>328</v>
      </c>
      <c r="B11" s="131">
        <v>27840</v>
      </c>
      <c r="C11" s="131">
        <v>32000</v>
      </c>
      <c r="D11" s="132">
        <v>38875</v>
      </c>
      <c r="E11" s="133">
        <v>72</v>
      </c>
      <c r="F11" s="133">
        <v>72</v>
      </c>
      <c r="G11" s="133">
        <v>72</v>
      </c>
      <c r="H11" s="133">
        <v>72</v>
      </c>
      <c r="I11" s="132">
        <v>1</v>
      </c>
      <c r="J11" s="132">
        <v>1</v>
      </c>
      <c r="K11" s="132">
        <v>1</v>
      </c>
      <c r="L11" s="132">
        <v>125</v>
      </c>
      <c r="M11" s="132">
        <v>125</v>
      </c>
      <c r="N11" s="132">
        <v>125</v>
      </c>
      <c r="O11" s="132">
        <f t="shared" si="1"/>
        <v>9000</v>
      </c>
      <c r="P11" s="132">
        <f t="shared" si="0"/>
        <v>9000</v>
      </c>
      <c r="Q11" s="132">
        <f t="shared" si="2"/>
        <v>9000</v>
      </c>
    </row>
    <row r="12" ht="14.25" customHeight="1" spans="1:17">
      <c r="A12" s="130" t="s">
        <v>329</v>
      </c>
      <c r="B12" s="131">
        <v>36520</v>
      </c>
      <c r="C12" s="131">
        <v>32200</v>
      </c>
      <c r="D12" s="132">
        <v>34270</v>
      </c>
      <c r="E12" s="133">
        <v>72</v>
      </c>
      <c r="F12" s="133">
        <v>72</v>
      </c>
      <c r="G12" s="133">
        <v>72</v>
      </c>
      <c r="H12" s="133">
        <v>72</v>
      </c>
      <c r="I12" s="132">
        <v>5</v>
      </c>
      <c r="J12" s="132">
        <v>5</v>
      </c>
      <c r="K12" s="132">
        <v>5</v>
      </c>
      <c r="L12" s="132">
        <v>230</v>
      </c>
      <c r="M12" s="132">
        <v>230</v>
      </c>
      <c r="N12" s="132">
        <v>230</v>
      </c>
      <c r="O12" s="132">
        <f t="shared" si="1"/>
        <v>82800</v>
      </c>
      <c r="P12" s="132">
        <f t="shared" si="0"/>
        <v>82800</v>
      </c>
      <c r="Q12" s="132">
        <f t="shared" si="2"/>
        <v>82800</v>
      </c>
    </row>
    <row r="13" s="117" customFormat="1" ht="14.25" customHeight="1" spans="1:17">
      <c r="A13" s="130" t="s">
        <v>330</v>
      </c>
      <c r="B13" s="131">
        <v>1650</v>
      </c>
      <c r="C13" s="131">
        <v>1340</v>
      </c>
      <c r="D13" s="132">
        <v>170</v>
      </c>
      <c r="E13" s="133">
        <v>72</v>
      </c>
      <c r="F13" s="133">
        <v>72</v>
      </c>
      <c r="G13" s="133">
        <v>72</v>
      </c>
      <c r="H13" s="133">
        <v>72</v>
      </c>
      <c r="I13" s="132">
        <v>1</v>
      </c>
      <c r="J13" s="132">
        <v>1</v>
      </c>
      <c r="K13" s="132">
        <v>1</v>
      </c>
      <c r="L13" s="132">
        <v>170</v>
      </c>
      <c r="M13" s="132">
        <v>170</v>
      </c>
      <c r="N13" s="132">
        <v>170</v>
      </c>
      <c r="O13" s="132">
        <f t="shared" si="1"/>
        <v>12240</v>
      </c>
      <c r="P13" s="132">
        <f t="shared" si="0"/>
        <v>12240</v>
      </c>
      <c r="Q13" s="132">
        <f t="shared" si="2"/>
        <v>12240</v>
      </c>
    </row>
    <row r="14" s="117" customFormat="1" ht="14.25" customHeight="1" spans="1:17">
      <c r="A14" s="130" t="s">
        <v>331</v>
      </c>
      <c r="B14" s="131">
        <v>75870</v>
      </c>
      <c r="C14" s="131">
        <v>95950</v>
      </c>
      <c r="D14" s="132">
        <v>246905</v>
      </c>
      <c r="E14" s="133">
        <v>72</v>
      </c>
      <c r="F14" s="133">
        <v>72</v>
      </c>
      <c r="G14" s="133">
        <v>72</v>
      </c>
      <c r="H14" s="133">
        <v>72</v>
      </c>
      <c r="I14" s="132">
        <v>30</v>
      </c>
      <c r="J14" s="132">
        <v>30</v>
      </c>
      <c r="K14" s="132">
        <v>30</v>
      </c>
      <c r="L14" s="132">
        <v>95</v>
      </c>
      <c r="M14" s="132">
        <v>95</v>
      </c>
      <c r="N14" s="132">
        <v>95</v>
      </c>
      <c r="O14" s="132">
        <f t="shared" si="1"/>
        <v>205200</v>
      </c>
      <c r="P14" s="132">
        <f t="shared" si="0"/>
        <v>205200</v>
      </c>
      <c r="Q14" s="132">
        <f t="shared" si="2"/>
        <v>205200</v>
      </c>
    </row>
    <row r="15" s="117" customFormat="1" ht="14.25" customHeight="1" spans="1:17">
      <c r="A15" s="130" t="s">
        <v>332</v>
      </c>
      <c r="B15" s="131">
        <v>62530</v>
      </c>
      <c r="C15" s="131">
        <v>29850</v>
      </c>
      <c r="D15" s="132">
        <v>28725</v>
      </c>
      <c r="E15" s="133">
        <v>72</v>
      </c>
      <c r="F15" s="133">
        <v>72</v>
      </c>
      <c r="G15" s="133">
        <v>72</v>
      </c>
      <c r="H15" s="133">
        <v>72</v>
      </c>
      <c r="I15" s="132">
        <v>10</v>
      </c>
      <c r="J15" s="132">
        <v>10</v>
      </c>
      <c r="K15" s="132">
        <v>10</v>
      </c>
      <c r="L15" s="132">
        <v>75</v>
      </c>
      <c r="M15" s="132">
        <v>75</v>
      </c>
      <c r="N15" s="132">
        <v>75</v>
      </c>
      <c r="O15" s="132">
        <f t="shared" si="1"/>
        <v>54000</v>
      </c>
      <c r="P15" s="132">
        <f t="shared" si="0"/>
        <v>54000</v>
      </c>
      <c r="Q15" s="132">
        <f t="shared" si="2"/>
        <v>54000</v>
      </c>
    </row>
    <row r="16" s="117" customFormat="1" ht="14.25" customHeight="1" spans="1:17">
      <c r="A16" s="130" t="s">
        <v>333</v>
      </c>
      <c r="B16" s="131">
        <v>0</v>
      </c>
      <c r="C16" s="131">
        <v>0</v>
      </c>
      <c r="D16" s="132">
        <v>13275</v>
      </c>
      <c r="E16" s="133">
        <v>72</v>
      </c>
      <c r="F16" s="133">
        <v>72</v>
      </c>
      <c r="G16" s="133">
        <v>72</v>
      </c>
      <c r="H16" s="133">
        <v>72</v>
      </c>
      <c r="I16" s="132">
        <v>10</v>
      </c>
      <c r="J16" s="132">
        <v>10</v>
      </c>
      <c r="K16" s="132">
        <v>10</v>
      </c>
      <c r="L16" s="132">
        <v>75</v>
      </c>
      <c r="M16" s="132">
        <v>75</v>
      </c>
      <c r="N16" s="132">
        <v>75</v>
      </c>
      <c r="O16" s="132">
        <f t="shared" si="1"/>
        <v>54000</v>
      </c>
      <c r="P16" s="132">
        <f t="shared" si="0"/>
        <v>54000</v>
      </c>
      <c r="Q16" s="132">
        <f t="shared" si="2"/>
        <v>54000</v>
      </c>
    </row>
    <row r="17" s="117" customFormat="1" ht="14.25" customHeight="1" spans="1:17">
      <c r="A17" s="130" t="s">
        <v>334</v>
      </c>
      <c r="B17" s="131">
        <v>93015</v>
      </c>
      <c r="C17" s="131">
        <v>141075</v>
      </c>
      <c r="D17" s="132">
        <v>104925</v>
      </c>
      <c r="E17" s="133">
        <v>72</v>
      </c>
      <c r="F17" s="133">
        <v>72</v>
      </c>
      <c r="G17" s="133">
        <v>72</v>
      </c>
      <c r="H17" s="133">
        <v>72</v>
      </c>
      <c r="I17" s="132">
        <v>30</v>
      </c>
      <c r="J17" s="132">
        <v>30</v>
      </c>
      <c r="K17" s="132">
        <v>30</v>
      </c>
      <c r="L17" s="132">
        <v>75</v>
      </c>
      <c r="M17" s="132">
        <v>75</v>
      </c>
      <c r="N17" s="132">
        <v>75</v>
      </c>
      <c r="O17" s="132">
        <f t="shared" si="1"/>
        <v>162000</v>
      </c>
      <c r="P17" s="132">
        <f t="shared" si="0"/>
        <v>162000</v>
      </c>
      <c r="Q17" s="132">
        <f t="shared" si="2"/>
        <v>162000</v>
      </c>
    </row>
    <row r="18" s="117" customFormat="1" ht="14.25" customHeight="1" spans="1:17">
      <c r="A18" s="130" t="s">
        <v>335</v>
      </c>
      <c r="B18" s="131">
        <v>307190</v>
      </c>
      <c r="C18" s="131">
        <v>352025</v>
      </c>
      <c r="D18" s="132">
        <v>351300</v>
      </c>
      <c r="E18" s="133">
        <v>72</v>
      </c>
      <c r="F18" s="133">
        <v>72</v>
      </c>
      <c r="G18" s="133">
        <v>72</v>
      </c>
      <c r="H18" s="133">
        <v>72</v>
      </c>
      <c r="I18" s="132">
        <v>70</v>
      </c>
      <c r="J18" s="132">
        <v>70</v>
      </c>
      <c r="K18" s="132">
        <v>70</v>
      </c>
      <c r="L18" s="132">
        <v>75</v>
      </c>
      <c r="M18" s="132">
        <v>75</v>
      </c>
      <c r="N18" s="132">
        <v>75</v>
      </c>
      <c r="O18" s="132">
        <f t="shared" si="1"/>
        <v>378000</v>
      </c>
      <c r="P18" s="132">
        <f t="shared" si="0"/>
        <v>378000</v>
      </c>
      <c r="Q18" s="132">
        <f t="shared" si="2"/>
        <v>378000</v>
      </c>
    </row>
    <row r="19" s="117" customFormat="1" ht="14.25" customHeight="1" spans="1:17">
      <c r="A19" s="130" t="s">
        <v>336</v>
      </c>
      <c r="B19" s="131">
        <v>309595</v>
      </c>
      <c r="C19" s="131">
        <v>279650</v>
      </c>
      <c r="D19" s="132">
        <v>260625</v>
      </c>
      <c r="E19" s="133">
        <v>72</v>
      </c>
      <c r="F19" s="133">
        <v>72</v>
      </c>
      <c r="G19" s="133">
        <v>72</v>
      </c>
      <c r="H19" s="133">
        <v>72</v>
      </c>
      <c r="I19" s="132">
        <v>59</v>
      </c>
      <c r="J19" s="132">
        <v>59</v>
      </c>
      <c r="K19" s="132">
        <v>59</v>
      </c>
      <c r="L19" s="132">
        <v>75</v>
      </c>
      <c r="M19" s="132">
        <v>75</v>
      </c>
      <c r="N19" s="132">
        <v>75</v>
      </c>
      <c r="O19" s="132">
        <f t="shared" si="1"/>
        <v>318600</v>
      </c>
      <c r="P19" s="132">
        <f t="shared" si="0"/>
        <v>318600</v>
      </c>
      <c r="Q19" s="132">
        <f t="shared" si="2"/>
        <v>318600</v>
      </c>
    </row>
    <row r="20" s="117" customFormat="1" ht="14.25" customHeight="1" spans="1:17">
      <c r="A20" s="130" t="s">
        <v>337</v>
      </c>
      <c r="B20" s="131">
        <v>114070</v>
      </c>
      <c r="C20" s="131">
        <v>113520</v>
      </c>
      <c r="D20" s="132">
        <v>94260</v>
      </c>
      <c r="E20" s="133">
        <v>72</v>
      </c>
      <c r="F20" s="133">
        <v>72</v>
      </c>
      <c r="G20" s="133">
        <v>72</v>
      </c>
      <c r="H20" s="133">
        <v>72</v>
      </c>
      <c r="I20" s="132">
        <v>30</v>
      </c>
      <c r="J20" s="132">
        <v>30</v>
      </c>
      <c r="K20" s="132">
        <v>30</v>
      </c>
      <c r="L20" s="132">
        <v>60</v>
      </c>
      <c r="M20" s="132">
        <v>60</v>
      </c>
      <c r="N20" s="132">
        <v>60</v>
      </c>
      <c r="O20" s="132">
        <f t="shared" si="1"/>
        <v>129600</v>
      </c>
      <c r="P20" s="132">
        <f t="shared" si="0"/>
        <v>129600</v>
      </c>
      <c r="Q20" s="132">
        <f t="shared" si="2"/>
        <v>129600</v>
      </c>
    </row>
    <row r="21" s="117" customFormat="1" ht="14.25" customHeight="1" spans="1:17">
      <c r="A21" s="130" t="s">
        <v>338</v>
      </c>
      <c r="B21" s="131">
        <v>0</v>
      </c>
      <c r="C21" s="131">
        <v>99840</v>
      </c>
      <c r="D21" s="132">
        <v>32000</v>
      </c>
      <c r="E21" s="133">
        <v>72</v>
      </c>
      <c r="F21" s="133">
        <v>72</v>
      </c>
      <c r="G21" s="133">
        <v>72</v>
      </c>
      <c r="H21" s="133">
        <v>72</v>
      </c>
      <c r="I21" s="132">
        <v>5</v>
      </c>
      <c r="J21" s="132">
        <v>5</v>
      </c>
      <c r="K21" s="132">
        <v>5</v>
      </c>
      <c r="L21" s="132">
        <v>160</v>
      </c>
      <c r="M21" s="132">
        <v>160</v>
      </c>
      <c r="N21" s="132">
        <v>160</v>
      </c>
      <c r="O21" s="132">
        <f t="shared" si="1"/>
        <v>57600</v>
      </c>
      <c r="P21" s="132">
        <f t="shared" si="0"/>
        <v>57600</v>
      </c>
      <c r="Q21" s="132">
        <f t="shared" si="2"/>
        <v>57600</v>
      </c>
    </row>
    <row r="22" s="117" customFormat="1" ht="14.25" customHeight="1" spans="1:17">
      <c r="A22" s="130" t="s">
        <v>339</v>
      </c>
      <c r="B22" s="131">
        <v>322860</v>
      </c>
      <c r="C22" s="131">
        <v>254730</v>
      </c>
      <c r="D22" s="132">
        <v>181790</v>
      </c>
      <c r="E22" s="133">
        <v>72</v>
      </c>
      <c r="F22" s="133">
        <v>72</v>
      </c>
      <c r="G22" s="133">
        <v>72</v>
      </c>
      <c r="H22" s="133">
        <v>72</v>
      </c>
      <c r="I22" s="132">
        <v>30</v>
      </c>
      <c r="J22" s="132">
        <v>30</v>
      </c>
      <c r="K22" s="132">
        <v>30</v>
      </c>
      <c r="L22" s="132">
        <v>70</v>
      </c>
      <c r="M22" s="132">
        <v>70</v>
      </c>
      <c r="N22" s="132">
        <v>70</v>
      </c>
      <c r="O22" s="132">
        <f t="shared" si="1"/>
        <v>151200</v>
      </c>
      <c r="P22" s="132">
        <f t="shared" si="0"/>
        <v>151200</v>
      </c>
      <c r="Q22" s="132">
        <f t="shared" si="2"/>
        <v>151200</v>
      </c>
    </row>
    <row r="23" s="117" customFormat="1" ht="14.25" customHeight="1" spans="1:17">
      <c r="A23" s="130" t="s">
        <v>340</v>
      </c>
      <c r="B23" s="131">
        <v>72180</v>
      </c>
      <c r="C23" s="131">
        <v>89015</v>
      </c>
      <c r="D23" s="132">
        <v>69255</v>
      </c>
      <c r="E23" s="133">
        <v>72</v>
      </c>
      <c r="F23" s="133">
        <v>72</v>
      </c>
      <c r="G23" s="133">
        <v>72</v>
      </c>
      <c r="H23" s="133">
        <v>72</v>
      </c>
      <c r="I23" s="132">
        <v>20</v>
      </c>
      <c r="J23" s="132">
        <v>20</v>
      </c>
      <c r="K23" s="132">
        <v>20</v>
      </c>
      <c r="L23" s="132">
        <v>95</v>
      </c>
      <c r="M23" s="132">
        <v>95</v>
      </c>
      <c r="N23" s="132">
        <v>95</v>
      </c>
      <c r="O23" s="132">
        <f t="shared" si="1"/>
        <v>136800</v>
      </c>
      <c r="P23" s="132">
        <f t="shared" si="0"/>
        <v>136800</v>
      </c>
      <c r="Q23" s="132">
        <f t="shared" si="2"/>
        <v>136800</v>
      </c>
    </row>
    <row r="24" s="117" customFormat="1" ht="14.25" customHeight="1" spans="1:17">
      <c r="A24" s="130" t="s">
        <v>341</v>
      </c>
      <c r="B24" s="131">
        <v>73350</v>
      </c>
      <c r="C24" s="131">
        <v>41135</v>
      </c>
      <c r="D24" s="132">
        <v>66175</v>
      </c>
      <c r="E24" s="133">
        <v>72</v>
      </c>
      <c r="F24" s="133">
        <v>72</v>
      </c>
      <c r="G24" s="133">
        <v>72</v>
      </c>
      <c r="H24" s="133">
        <v>72</v>
      </c>
      <c r="I24" s="132">
        <v>10</v>
      </c>
      <c r="J24" s="132">
        <v>10</v>
      </c>
      <c r="K24" s="132">
        <v>10</v>
      </c>
      <c r="L24" s="132">
        <v>95</v>
      </c>
      <c r="M24" s="132">
        <v>95</v>
      </c>
      <c r="N24" s="132">
        <v>95</v>
      </c>
      <c r="O24" s="132">
        <f t="shared" si="1"/>
        <v>68400</v>
      </c>
      <c r="P24" s="132">
        <f t="shared" si="0"/>
        <v>68400</v>
      </c>
      <c r="Q24" s="132">
        <f t="shared" si="2"/>
        <v>68400</v>
      </c>
    </row>
    <row r="25" s="117" customFormat="1" ht="14.25" customHeight="1" spans="1:17">
      <c r="A25" s="130" t="s">
        <v>342</v>
      </c>
      <c r="B25" s="131">
        <v>121120</v>
      </c>
      <c r="C25" s="131">
        <v>95550</v>
      </c>
      <c r="D25" s="132">
        <v>131850</v>
      </c>
      <c r="E25" s="133">
        <v>72</v>
      </c>
      <c r="F25" s="133">
        <v>72</v>
      </c>
      <c r="G25" s="133">
        <v>72</v>
      </c>
      <c r="H25" s="133">
        <v>72</v>
      </c>
      <c r="I25" s="132">
        <v>10</v>
      </c>
      <c r="J25" s="132">
        <v>10</v>
      </c>
      <c r="K25" s="132">
        <v>10</v>
      </c>
      <c r="L25" s="132">
        <v>75</v>
      </c>
      <c r="M25" s="132">
        <v>75</v>
      </c>
      <c r="N25" s="132">
        <v>75</v>
      </c>
      <c r="O25" s="132">
        <f t="shared" si="1"/>
        <v>54000</v>
      </c>
      <c r="P25" s="132">
        <f t="shared" si="0"/>
        <v>54000</v>
      </c>
      <c r="Q25" s="132">
        <f t="shared" si="2"/>
        <v>54000</v>
      </c>
    </row>
    <row r="26" s="117" customFormat="1" ht="14.25" customHeight="1" spans="1:17">
      <c r="A26" s="130" t="s">
        <v>343</v>
      </c>
      <c r="B26" s="131">
        <v>51825</v>
      </c>
      <c r="C26" s="131">
        <v>116875</v>
      </c>
      <c r="D26" s="132">
        <v>55335</v>
      </c>
      <c r="E26" s="133">
        <v>72</v>
      </c>
      <c r="F26" s="133">
        <v>72</v>
      </c>
      <c r="G26" s="133">
        <v>72</v>
      </c>
      <c r="H26" s="133">
        <v>72</v>
      </c>
      <c r="I26" s="132">
        <v>30</v>
      </c>
      <c r="J26" s="132">
        <v>30</v>
      </c>
      <c r="K26" s="132">
        <v>30</v>
      </c>
      <c r="L26" s="132">
        <v>85</v>
      </c>
      <c r="M26" s="132">
        <v>85</v>
      </c>
      <c r="N26" s="132">
        <v>85</v>
      </c>
      <c r="O26" s="132">
        <f t="shared" si="1"/>
        <v>183600</v>
      </c>
      <c r="P26" s="132">
        <f t="shared" si="0"/>
        <v>183600</v>
      </c>
      <c r="Q26" s="132">
        <f t="shared" si="2"/>
        <v>183600</v>
      </c>
    </row>
    <row r="27" s="117" customFormat="1" ht="14.25" customHeight="1" spans="1:17">
      <c r="A27" s="130" t="s">
        <v>344</v>
      </c>
      <c r="B27" s="131">
        <v>25545</v>
      </c>
      <c r="C27" s="131">
        <v>0</v>
      </c>
      <c r="D27" s="132">
        <v>0</v>
      </c>
      <c r="E27" s="133">
        <v>60.1</v>
      </c>
      <c r="F27" s="133">
        <v>0</v>
      </c>
      <c r="G27" s="133">
        <v>0</v>
      </c>
      <c r="H27" s="133">
        <v>60.0688</v>
      </c>
      <c r="I27" s="132">
        <v>2</v>
      </c>
      <c r="J27" s="132">
        <v>2</v>
      </c>
      <c r="K27" s="132">
        <v>2</v>
      </c>
      <c r="L27" s="132">
        <v>75</v>
      </c>
      <c r="M27" s="132">
        <v>75</v>
      </c>
      <c r="N27" s="132">
        <v>75</v>
      </c>
      <c r="O27" s="132">
        <f>I27*H27*L27+0.01</f>
        <v>9010.33</v>
      </c>
      <c r="P27" s="132">
        <f>J27*H27*M27+0.01</f>
        <v>9010.33</v>
      </c>
      <c r="Q27" s="132">
        <f>K27*H27*N27+0.01</f>
        <v>9010.33</v>
      </c>
    </row>
    <row r="28" s="117" customFormat="1" ht="14.25" customHeight="1" spans="1:17">
      <c r="A28" s="130" t="s">
        <v>345</v>
      </c>
      <c r="B28" s="131">
        <v>166660</v>
      </c>
      <c r="C28" s="131">
        <v>195930</v>
      </c>
      <c r="D28" s="132">
        <v>217800</v>
      </c>
      <c r="E28" s="133">
        <v>72</v>
      </c>
      <c r="F28" s="133">
        <v>72</v>
      </c>
      <c r="G28" s="133">
        <v>72</v>
      </c>
      <c r="H28" s="133">
        <v>72</v>
      </c>
      <c r="I28" s="132">
        <v>33</v>
      </c>
      <c r="J28" s="132">
        <v>33</v>
      </c>
      <c r="K28" s="132">
        <v>33</v>
      </c>
      <c r="L28" s="132">
        <v>75</v>
      </c>
      <c r="M28" s="132">
        <v>75</v>
      </c>
      <c r="N28" s="132">
        <v>75</v>
      </c>
      <c r="O28" s="132">
        <f t="shared" si="1"/>
        <v>178200</v>
      </c>
      <c r="P28" s="132">
        <f t="shared" si="0"/>
        <v>178200</v>
      </c>
      <c r="Q28" s="132">
        <f t="shared" si="2"/>
        <v>178200</v>
      </c>
    </row>
    <row r="29" s="117" customFormat="1" ht="14.25" customHeight="1" spans="1:17">
      <c r="A29" s="130" t="s">
        <v>346</v>
      </c>
      <c r="B29" s="131">
        <v>44910</v>
      </c>
      <c r="C29" s="131">
        <v>125875</v>
      </c>
      <c r="D29" s="132">
        <v>183715</v>
      </c>
      <c r="E29" s="133">
        <v>72</v>
      </c>
      <c r="F29" s="133">
        <v>72</v>
      </c>
      <c r="G29" s="133">
        <v>72</v>
      </c>
      <c r="H29" s="133">
        <v>72</v>
      </c>
      <c r="I29" s="132">
        <v>5</v>
      </c>
      <c r="J29" s="132">
        <v>5</v>
      </c>
      <c r="K29" s="132">
        <v>5</v>
      </c>
      <c r="L29" s="132">
        <v>95</v>
      </c>
      <c r="M29" s="132">
        <v>95</v>
      </c>
      <c r="N29" s="132">
        <v>95</v>
      </c>
      <c r="O29" s="132">
        <f t="shared" si="1"/>
        <v>34200</v>
      </c>
      <c r="P29" s="132">
        <f t="shared" si="0"/>
        <v>34200</v>
      </c>
      <c r="Q29" s="132">
        <f t="shared" si="2"/>
        <v>34200</v>
      </c>
    </row>
    <row r="30" s="117" customFormat="1" ht="14.25" customHeight="1" spans="1:17">
      <c r="A30" s="130" t="s">
        <v>347</v>
      </c>
      <c r="B30" s="131">
        <v>52325</v>
      </c>
      <c r="C30" s="131">
        <v>53100</v>
      </c>
      <c r="D30" s="132">
        <v>47325</v>
      </c>
      <c r="E30" s="133">
        <v>72</v>
      </c>
      <c r="F30" s="133">
        <v>72</v>
      </c>
      <c r="G30" s="133">
        <v>72</v>
      </c>
      <c r="H30" s="133">
        <v>72</v>
      </c>
      <c r="I30" s="132">
        <v>10</v>
      </c>
      <c r="J30" s="132">
        <v>10</v>
      </c>
      <c r="K30" s="132">
        <v>10</v>
      </c>
      <c r="L30" s="132">
        <v>75</v>
      </c>
      <c r="M30" s="132">
        <v>75</v>
      </c>
      <c r="N30" s="132">
        <v>75</v>
      </c>
      <c r="O30" s="132">
        <f t="shared" si="1"/>
        <v>54000</v>
      </c>
      <c r="P30" s="132">
        <f t="shared" si="0"/>
        <v>54000</v>
      </c>
      <c r="Q30" s="132">
        <f t="shared" si="2"/>
        <v>54000</v>
      </c>
    </row>
    <row r="31" s="117" customFormat="1" ht="14.25" customHeight="1" spans="1:17">
      <c r="A31" s="130" t="s">
        <v>348</v>
      </c>
      <c r="B31" s="131">
        <v>15470</v>
      </c>
      <c r="C31" s="131">
        <v>41735</v>
      </c>
      <c r="D31" s="132">
        <v>20100</v>
      </c>
      <c r="E31" s="133">
        <v>72</v>
      </c>
      <c r="F31" s="133">
        <v>72</v>
      </c>
      <c r="G31" s="133">
        <v>72</v>
      </c>
      <c r="H31" s="133">
        <v>72</v>
      </c>
      <c r="I31" s="132">
        <v>10</v>
      </c>
      <c r="J31" s="132">
        <v>10</v>
      </c>
      <c r="K31" s="132">
        <v>10</v>
      </c>
      <c r="L31" s="132">
        <v>75</v>
      </c>
      <c r="M31" s="132">
        <v>75</v>
      </c>
      <c r="N31" s="132">
        <v>75</v>
      </c>
      <c r="O31" s="132">
        <f t="shared" si="1"/>
        <v>54000</v>
      </c>
      <c r="P31" s="132">
        <f t="shared" si="0"/>
        <v>54000</v>
      </c>
      <c r="Q31" s="132">
        <f t="shared" si="2"/>
        <v>54000</v>
      </c>
    </row>
    <row r="32" s="117" customFormat="1" ht="14.25" customHeight="1" spans="1:17">
      <c r="A32" s="130" t="s">
        <v>349</v>
      </c>
      <c r="B32" s="131">
        <v>0</v>
      </c>
      <c r="C32" s="131">
        <v>0</v>
      </c>
      <c r="D32" s="132">
        <v>21090</v>
      </c>
      <c r="E32" s="133">
        <v>72</v>
      </c>
      <c r="F32" s="133">
        <v>72</v>
      </c>
      <c r="G32" s="133">
        <v>72</v>
      </c>
      <c r="H32" s="133">
        <v>72</v>
      </c>
      <c r="I32" s="132">
        <v>5</v>
      </c>
      <c r="J32" s="132">
        <v>5</v>
      </c>
      <c r="K32" s="132">
        <v>5</v>
      </c>
      <c r="L32" s="132">
        <v>95</v>
      </c>
      <c r="M32" s="132">
        <v>95</v>
      </c>
      <c r="N32" s="132">
        <v>95</v>
      </c>
      <c r="O32" s="132">
        <f t="shared" si="1"/>
        <v>34200</v>
      </c>
      <c r="P32" s="132">
        <f t="shared" si="0"/>
        <v>34200</v>
      </c>
      <c r="Q32" s="132">
        <f t="shared" si="2"/>
        <v>34200</v>
      </c>
    </row>
    <row r="33" s="117" customFormat="1" ht="14.25" customHeight="1" spans="1:17">
      <c r="A33" s="130" t="s">
        <v>350</v>
      </c>
      <c r="B33" s="131">
        <v>4180</v>
      </c>
      <c r="C33" s="131">
        <v>10350</v>
      </c>
      <c r="D33" s="132">
        <v>50600</v>
      </c>
      <c r="E33" s="133">
        <v>72</v>
      </c>
      <c r="F33" s="133">
        <v>72</v>
      </c>
      <c r="G33" s="133">
        <v>72</v>
      </c>
      <c r="H33" s="133">
        <v>72</v>
      </c>
      <c r="I33" s="132">
        <v>5</v>
      </c>
      <c r="J33" s="132">
        <v>5</v>
      </c>
      <c r="K33" s="132">
        <v>5</v>
      </c>
      <c r="L33" s="132">
        <v>230</v>
      </c>
      <c r="M33" s="132">
        <v>230</v>
      </c>
      <c r="N33" s="132">
        <v>230</v>
      </c>
      <c r="O33" s="132">
        <f t="shared" si="1"/>
        <v>82800</v>
      </c>
      <c r="P33" s="132">
        <f t="shared" si="0"/>
        <v>82800</v>
      </c>
      <c r="Q33" s="132">
        <f t="shared" si="2"/>
        <v>82800</v>
      </c>
    </row>
    <row r="34" s="117" customFormat="1" ht="14.25" hidden="1" customHeight="1" spans="1:17">
      <c r="A34" s="130"/>
      <c r="B34" s="134"/>
      <c r="C34" s="134"/>
      <c r="D34" s="132"/>
      <c r="E34" s="132"/>
      <c r="F34" s="132"/>
      <c r="G34" s="132"/>
      <c r="H34" s="133"/>
      <c r="I34" s="132"/>
      <c r="J34" s="132"/>
      <c r="K34" s="132"/>
      <c r="L34" s="132"/>
      <c r="M34" s="132"/>
      <c r="N34" s="132"/>
      <c r="O34" s="132"/>
      <c r="P34" s="132"/>
      <c r="Q34" s="132"/>
    </row>
    <row r="35" s="117" customFormat="1" ht="14.25" hidden="1" customHeight="1" spans="1:17">
      <c r="A35" s="130"/>
      <c r="B35" s="134"/>
      <c r="C35" s="134"/>
      <c r="D35" s="132"/>
      <c r="E35" s="132"/>
      <c r="F35" s="132"/>
      <c r="G35" s="132"/>
      <c r="H35" s="133"/>
      <c r="I35" s="132"/>
      <c r="J35" s="132"/>
      <c r="K35" s="132"/>
      <c r="L35" s="132"/>
      <c r="M35" s="132"/>
      <c r="N35" s="132"/>
      <c r="O35" s="132"/>
      <c r="P35" s="132"/>
      <c r="Q35" s="132"/>
    </row>
    <row r="36" s="117" customFormat="1" ht="14.25" hidden="1" customHeight="1" spans="1:17">
      <c r="A36" s="130"/>
      <c r="B36" s="134"/>
      <c r="C36" s="134"/>
      <c r="D36" s="132"/>
      <c r="E36" s="132"/>
      <c r="F36" s="132"/>
      <c r="G36" s="132"/>
      <c r="H36" s="133"/>
      <c r="I36" s="132"/>
      <c r="J36" s="132"/>
      <c r="K36" s="132"/>
      <c r="L36" s="132"/>
      <c r="M36" s="132"/>
      <c r="N36" s="132"/>
      <c r="O36" s="132"/>
      <c r="P36" s="132"/>
      <c r="Q36" s="132"/>
    </row>
    <row r="37" s="117" customFormat="1" hidden="1" customHeight="1" spans="1:17">
      <c r="A37" s="130"/>
      <c r="B37" s="134"/>
      <c r="C37" s="134"/>
      <c r="D37" s="132"/>
      <c r="E37" s="132"/>
      <c r="F37" s="132"/>
      <c r="G37" s="132"/>
      <c r="H37" s="133"/>
      <c r="I37" s="132"/>
      <c r="J37" s="132"/>
      <c r="K37" s="132"/>
      <c r="L37" s="132"/>
      <c r="M37" s="132"/>
      <c r="N37" s="132"/>
      <c r="O37" s="132"/>
      <c r="P37" s="132"/>
      <c r="Q37" s="132"/>
    </row>
    <row r="38" s="117" customFormat="1" hidden="1" customHeight="1" spans="1:17">
      <c r="A38" s="130"/>
      <c r="B38" s="134"/>
      <c r="C38" s="134"/>
      <c r="D38" s="132"/>
      <c r="E38" s="132"/>
      <c r="F38" s="132"/>
      <c r="G38" s="132"/>
      <c r="H38" s="133"/>
      <c r="I38" s="132"/>
      <c r="J38" s="132"/>
      <c r="K38" s="132"/>
      <c r="L38" s="132"/>
      <c r="M38" s="132"/>
      <c r="N38" s="132"/>
      <c r="O38" s="132"/>
      <c r="P38" s="132"/>
      <c r="Q38" s="132"/>
    </row>
    <row r="39" ht="17.25" customHeight="1" spans="1:17">
      <c r="A39" s="130"/>
      <c r="B39" s="131"/>
      <c r="C39" s="131"/>
      <c r="D39" s="132"/>
      <c r="E39" s="132"/>
      <c r="F39" s="132"/>
      <c r="G39" s="132"/>
      <c r="H39" s="133"/>
      <c r="I39" s="132"/>
      <c r="J39" s="132"/>
      <c r="K39" s="132"/>
      <c r="L39" s="132"/>
      <c r="M39" s="132"/>
      <c r="N39" s="132"/>
      <c r="O39" s="132"/>
      <c r="P39" s="132"/>
      <c r="Q39" s="132"/>
    </row>
    <row r="40" ht="45" hidden="1" customHeight="1" spans="1:17">
      <c r="A40" s="135" t="s">
        <v>298</v>
      </c>
      <c r="B40" s="136"/>
      <c r="C40" s="136"/>
      <c r="D40" s="137"/>
      <c r="E40" s="133"/>
      <c r="F40" s="133"/>
      <c r="G40" s="133"/>
      <c r="H40" s="133">
        <f t="shared" ref="H40" si="3">ROUND((E40+F40+G40)/3,1)</f>
        <v>0</v>
      </c>
      <c r="I40" s="133"/>
      <c r="J40" s="133"/>
      <c r="K40" s="133"/>
      <c r="L40" s="133"/>
      <c r="M40" s="133"/>
      <c r="N40" s="133"/>
      <c r="O40" s="132">
        <f t="shared" si="1"/>
        <v>0</v>
      </c>
      <c r="P40" s="132">
        <f t="shared" si="0"/>
        <v>0</v>
      </c>
      <c r="Q40" s="132">
        <f t="shared" ref="Q40:Q44" si="4">K40*H40*N40</f>
        <v>0</v>
      </c>
    </row>
    <row r="41" s="118" customFormat="1" ht="50.45" customHeight="1" spans="1:17">
      <c r="A41" s="135" t="s">
        <v>351</v>
      </c>
      <c r="B41" s="138">
        <v>581360</v>
      </c>
      <c r="C41" s="138">
        <v>518148.74</v>
      </c>
      <c r="D41" s="137">
        <v>552720</v>
      </c>
      <c r="E41" s="133">
        <v>246</v>
      </c>
      <c r="F41" s="133">
        <v>246</v>
      </c>
      <c r="G41" s="133">
        <v>246</v>
      </c>
      <c r="H41" s="133">
        <v>246</v>
      </c>
      <c r="I41" s="133">
        <v>60</v>
      </c>
      <c r="J41" s="133">
        <v>60</v>
      </c>
      <c r="K41" s="133">
        <v>60</v>
      </c>
      <c r="L41" s="133">
        <v>40</v>
      </c>
      <c r="M41" s="133">
        <v>40</v>
      </c>
      <c r="N41" s="133">
        <v>40</v>
      </c>
      <c r="O41" s="132">
        <f t="shared" ref="O41:O44" si="5">I41*H41*L41</f>
        <v>590400</v>
      </c>
      <c r="P41" s="132">
        <f t="shared" ref="P41:P44" si="6">J41*H41*M41</f>
        <v>590400</v>
      </c>
      <c r="Q41" s="132">
        <f t="shared" si="4"/>
        <v>590400</v>
      </c>
    </row>
    <row r="42" ht="63.75" hidden="1" spans="1:17">
      <c r="A42" s="135" t="s">
        <v>352</v>
      </c>
      <c r="B42" s="136"/>
      <c r="C42" s="136"/>
      <c r="D42" s="137"/>
      <c r="E42" s="133"/>
      <c r="F42" s="133"/>
      <c r="G42" s="133"/>
      <c r="H42" s="133">
        <f>ROUND((E42+F42+G42)/3,1)</f>
        <v>0</v>
      </c>
      <c r="I42" s="133"/>
      <c r="J42" s="133"/>
      <c r="K42" s="133"/>
      <c r="L42" s="133"/>
      <c r="M42" s="133"/>
      <c r="N42" s="133"/>
      <c r="O42" s="132">
        <f t="shared" si="5"/>
        <v>0</v>
      </c>
      <c r="P42" s="132">
        <f t="shared" si="6"/>
        <v>0</v>
      </c>
      <c r="Q42" s="132">
        <f t="shared" si="4"/>
        <v>0</v>
      </c>
    </row>
    <row r="43" ht="68.25" hidden="1" customHeight="1" spans="1:17">
      <c r="A43" s="130" t="s">
        <v>353</v>
      </c>
      <c r="B43" s="136"/>
      <c r="C43" s="136"/>
      <c r="D43" s="137"/>
      <c r="E43" s="133"/>
      <c r="F43" s="133"/>
      <c r="G43" s="133"/>
      <c r="H43" s="133">
        <f>ROUND((E43+F43+G43)/3,1)</f>
        <v>0</v>
      </c>
      <c r="I43" s="133"/>
      <c r="J43" s="133"/>
      <c r="K43" s="133"/>
      <c r="L43" s="133"/>
      <c r="M43" s="133"/>
      <c r="N43" s="133"/>
      <c r="O43" s="132">
        <f t="shared" si="5"/>
        <v>0</v>
      </c>
      <c r="P43" s="132">
        <f t="shared" si="6"/>
        <v>0</v>
      </c>
      <c r="Q43" s="132">
        <f t="shared" si="4"/>
        <v>0</v>
      </c>
    </row>
    <row r="44" ht="2.45" customHeight="1" spans="1:17">
      <c r="A44" s="130" t="s">
        <v>354</v>
      </c>
      <c r="B44" s="136"/>
      <c r="C44" s="136"/>
      <c r="D44" s="137"/>
      <c r="E44" s="133"/>
      <c r="F44" s="133"/>
      <c r="G44" s="133"/>
      <c r="H44" s="133">
        <f>ROUND((E44+F44+G44)/3,1)</f>
        <v>0</v>
      </c>
      <c r="I44" s="133"/>
      <c r="J44" s="133"/>
      <c r="K44" s="133"/>
      <c r="L44" s="133"/>
      <c r="M44" s="133"/>
      <c r="N44" s="133"/>
      <c r="O44" s="132">
        <f t="shared" si="5"/>
        <v>0</v>
      </c>
      <c r="P44" s="132">
        <f t="shared" si="6"/>
        <v>0</v>
      </c>
      <c r="Q44" s="132">
        <f t="shared" si="4"/>
        <v>0</v>
      </c>
    </row>
    <row r="45" ht="24.75" customHeight="1" spans="1:17">
      <c r="A45" s="139" t="s">
        <v>300</v>
      </c>
      <c r="B45" s="140">
        <f t="shared" ref="B45:K45" si="7">SUM(B9:B44)</f>
        <v>2702005</v>
      </c>
      <c r="C45" s="140">
        <f t="shared" si="7"/>
        <v>2854968.74</v>
      </c>
      <c r="D45" s="140">
        <f t="shared" si="7"/>
        <v>2931020</v>
      </c>
      <c r="E45" s="140">
        <f t="shared" si="7"/>
        <v>2034.1</v>
      </c>
      <c r="F45" s="140">
        <f t="shared" si="7"/>
        <v>1974</v>
      </c>
      <c r="G45" s="140">
        <f t="shared" si="7"/>
        <v>1974</v>
      </c>
      <c r="H45" s="140">
        <f t="shared" si="7"/>
        <v>2034.0688</v>
      </c>
      <c r="I45" s="140">
        <f t="shared" si="7"/>
        <v>511</v>
      </c>
      <c r="J45" s="140">
        <f t="shared" si="7"/>
        <v>511</v>
      </c>
      <c r="K45" s="140">
        <f t="shared" si="7"/>
        <v>511</v>
      </c>
      <c r="L45" s="157" t="s">
        <v>295</v>
      </c>
      <c r="M45" s="157" t="s">
        <v>295</v>
      </c>
      <c r="N45" s="157" t="s">
        <v>295</v>
      </c>
      <c r="O45" s="158">
        <f>SUM(O7:O44)</f>
        <v>3505680</v>
      </c>
      <c r="P45" s="158">
        <f>SUM(P7:P44)</f>
        <v>3505680</v>
      </c>
      <c r="Q45" s="158">
        <f>SUM(Q7:Q44)</f>
        <v>3505680</v>
      </c>
    </row>
    <row r="46" ht="24.75" customHeight="1"/>
    <row r="47" ht="36" customHeight="1" spans="1:17">
      <c r="A47" s="141" t="s">
        <v>355</v>
      </c>
      <c r="B47" s="141"/>
      <c r="C47" s="141"/>
      <c r="D47" s="141"/>
      <c r="E47" s="141"/>
      <c r="F47" s="141"/>
      <c r="G47" s="142"/>
      <c r="H47" s="142"/>
      <c r="I47" s="142"/>
      <c r="J47" s="142"/>
      <c r="K47" s="142"/>
      <c r="L47" s="142"/>
      <c r="M47" s="142"/>
      <c r="N47" s="159"/>
      <c r="O47" s="159"/>
      <c r="P47" s="159"/>
      <c r="Q47" s="159"/>
    </row>
    <row r="48" ht="16.5" customHeight="1" spans="1:21">
      <c r="A48" s="143" t="s">
        <v>356</v>
      </c>
      <c r="B48" s="143" t="s">
        <v>9</v>
      </c>
      <c r="C48" s="143" t="s">
        <v>357</v>
      </c>
      <c r="D48" s="121" t="s">
        <v>358</v>
      </c>
      <c r="E48" s="121"/>
      <c r="F48" s="121"/>
      <c r="G48" s="121"/>
      <c r="H48" s="121"/>
      <c r="I48" s="121"/>
      <c r="J48" s="124"/>
      <c r="K48" s="142"/>
      <c r="L48" s="142"/>
      <c r="M48" s="142"/>
      <c r="N48" s="124"/>
      <c r="O48" s="124"/>
      <c r="P48" s="124"/>
      <c r="Q48" s="124"/>
      <c r="R48" s="147"/>
      <c r="S48" s="147"/>
      <c r="T48" s="147"/>
      <c r="U48" s="124"/>
    </row>
    <row r="49" ht="64.5" customHeight="1" spans="1:21">
      <c r="A49" s="143" t="s">
        <v>359</v>
      </c>
      <c r="B49" s="144">
        <v>43061</v>
      </c>
      <c r="C49" s="143" t="s">
        <v>360</v>
      </c>
      <c r="D49" s="143" t="s">
        <v>361</v>
      </c>
      <c r="E49" s="143"/>
      <c r="F49" s="143"/>
      <c r="G49" s="143"/>
      <c r="H49" s="143"/>
      <c r="I49" s="143"/>
      <c r="J49" s="124"/>
      <c r="K49" s="142"/>
      <c r="L49" s="142"/>
      <c r="M49" s="142"/>
      <c r="N49" s="124"/>
      <c r="O49" s="124"/>
      <c r="P49" s="124"/>
      <c r="Q49" s="124"/>
      <c r="R49" s="150"/>
      <c r="S49" s="150"/>
      <c r="T49" s="150"/>
      <c r="U49" s="124"/>
    </row>
    <row r="50" spans="1:17">
      <c r="A50" s="145"/>
      <c r="B50" s="145"/>
      <c r="C50" s="145"/>
      <c r="D50" s="145"/>
      <c r="E50" s="145"/>
      <c r="F50" s="145"/>
      <c r="G50" s="124"/>
      <c r="H50" s="124"/>
      <c r="I50" s="124"/>
      <c r="J50" s="124"/>
      <c r="K50" s="142"/>
      <c r="L50" s="142"/>
      <c r="M50" s="142"/>
      <c r="N50" s="124"/>
      <c r="O50" s="124"/>
      <c r="P50" s="124"/>
      <c r="Q50" s="124"/>
    </row>
    <row r="51" spans="1:17">
      <c r="A51" s="145"/>
      <c r="B51" s="145"/>
      <c r="C51" s="145"/>
      <c r="D51" s="145"/>
      <c r="E51" s="145"/>
      <c r="F51" s="145"/>
      <c r="G51" s="124"/>
      <c r="H51" s="124"/>
      <c r="I51" s="124"/>
      <c r="J51" s="124"/>
      <c r="K51" s="142"/>
      <c r="L51" s="142"/>
      <c r="M51" s="142"/>
      <c r="N51" s="124"/>
      <c r="O51" s="124"/>
      <c r="P51" s="124"/>
      <c r="Q51" s="124"/>
    </row>
    <row r="52" spans="1:17">
      <c r="A52" s="117" t="s">
        <v>267</v>
      </c>
      <c r="C52" s="146" t="str">
        <f>возмещение!C22</f>
        <v>Заведующий</v>
      </c>
      <c r="D52" s="147"/>
      <c r="E52" s="146"/>
      <c r="F52" s="147"/>
      <c r="G52" s="148" t="str">
        <f>возмещение!G22</f>
        <v>Измайлова Н.В.</v>
      </c>
      <c r="H52" s="148"/>
      <c r="I52" s="148"/>
      <c r="J52" s="147"/>
      <c r="K52" s="147"/>
      <c r="L52" s="147"/>
      <c r="M52" s="147"/>
      <c r="N52" s="147"/>
      <c r="O52" s="147"/>
      <c r="P52" s="147"/>
      <c r="Q52" s="147"/>
    </row>
    <row r="53" spans="1:17">
      <c r="A53" s="117" t="s">
        <v>268</v>
      </c>
      <c r="C53" s="149" t="s">
        <v>269</v>
      </c>
      <c r="D53" s="150"/>
      <c r="E53" s="149" t="s">
        <v>5</v>
      </c>
      <c r="F53" s="150"/>
      <c r="G53" s="149" t="s">
        <v>270</v>
      </c>
      <c r="H53" s="149"/>
      <c r="I53" s="150"/>
      <c r="J53" s="150"/>
      <c r="K53" s="150"/>
      <c r="L53" s="150"/>
      <c r="M53" s="150"/>
      <c r="N53" s="150"/>
      <c r="O53" s="150"/>
      <c r="P53" s="150"/>
      <c r="Q53" s="150"/>
    </row>
    <row r="54" spans="1:1">
      <c r="A54" s="151"/>
    </row>
    <row r="55" spans="3:8">
      <c r="C55" s="146" t="str">
        <f>возмещение!C25</f>
        <v>Гл.бухгалтер</v>
      </c>
      <c r="D55" s="147"/>
      <c r="E55" s="146" t="str">
        <f>возмещение!E25</f>
        <v>Родионова Н.А.</v>
      </c>
      <c r="F55" s="147"/>
      <c r="G55" s="152" t="str">
        <f>возмещение!G25</f>
        <v>31-55-99</v>
      </c>
      <c r="H55" s="146"/>
    </row>
    <row r="56" spans="1:8">
      <c r="A56" s="117" t="s">
        <v>271</v>
      </c>
      <c r="C56" s="149" t="s">
        <v>269</v>
      </c>
      <c r="D56" s="150"/>
      <c r="E56" s="149" t="s">
        <v>275</v>
      </c>
      <c r="F56" s="150"/>
      <c r="G56" s="153" t="s">
        <v>276</v>
      </c>
      <c r="H56" s="153"/>
    </row>
    <row r="57" ht="23.25" customHeight="1"/>
    <row r="61" spans="1:5">
      <c r="A61" s="151" t="str">
        <f>возмещение!A30</f>
        <v>"17" июня 2020</v>
      </c>
      <c r="B61" s="151"/>
      <c r="C61" s="151"/>
      <c r="D61" s="151"/>
      <c r="E61" s="151"/>
    </row>
  </sheetData>
  <mergeCells count="18">
    <mergeCell ref="P1:Q1"/>
    <mergeCell ref="O2:Q2"/>
    <mergeCell ref="A3:Q3"/>
    <mergeCell ref="B4:D4"/>
    <mergeCell ref="B5:D5"/>
    <mergeCell ref="A47:F47"/>
    <mergeCell ref="D48:I48"/>
    <mergeCell ref="D49:I49"/>
    <mergeCell ref="A52:B52"/>
    <mergeCell ref="G52:I52"/>
    <mergeCell ref="A53:B53"/>
    <mergeCell ref="G56:H56"/>
    <mergeCell ref="A61:E61"/>
    <mergeCell ref="A4:A6"/>
    <mergeCell ref="E4:H5"/>
    <mergeCell ref="I4:K5"/>
    <mergeCell ref="L4:N5"/>
    <mergeCell ref="O4:Q5"/>
  </mergeCells>
  <pageMargins left="0.118110236220472" right="0.118110236220472" top="0.354330708661417" bottom="0.354330708661417" header="0.31496062992126" footer="0.31496062992126"/>
  <pageSetup paperSize="9" scale="70" orientation="landscape"/>
  <headerFooter/>
  <rowBreaks count="1" manualBreakCount="1">
    <brk id="22" max="1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318"/>
  <sheetViews>
    <sheetView showGridLines="0" view="pageBreakPreview" zoomScaleNormal="100" topLeftCell="A295" workbookViewId="0">
      <selection activeCell="A318" sqref="A318:E318"/>
    </sheetView>
  </sheetViews>
  <sheetFormatPr defaultColWidth="9.14285714285714" defaultRowHeight="15"/>
  <cols>
    <col min="1" max="1" width="5.71428571428571" style="7" customWidth="1"/>
    <col min="2" max="2" width="17.7142857142857" style="8" customWidth="1"/>
    <col min="3" max="3" width="14.2857142857143" style="8" customWidth="1"/>
    <col min="4" max="4" width="11" style="8" customWidth="1"/>
    <col min="5" max="5" width="14" style="8" customWidth="1"/>
    <col min="6" max="6" width="14.8571428571429" style="8" customWidth="1"/>
    <col min="7" max="7" width="15.1428571428571" style="8" customWidth="1"/>
    <col min="8" max="8" width="14.5714285714286" style="8" customWidth="1"/>
    <col min="9" max="11" width="14" style="8" customWidth="1"/>
    <col min="12" max="12" width="17.7142857142857" style="7" customWidth="1"/>
    <col min="13" max="16384" width="9.14285714285714" style="7"/>
  </cols>
  <sheetData>
    <row r="1" hidden="1" spans="9:11">
      <c r="I1" s="6"/>
      <c r="J1" s="40" t="s">
        <v>362</v>
      </c>
      <c r="K1" s="40"/>
    </row>
    <row r="2" ht="27" hidden="1" customHeight="1" spans="9:11">
      <c r="I2" s="41" t="s">
        <v>285</v>
      </c>
      <c r="J2" s="41"/>
      <c r="K2" s="41"/>
    </row>
    <row r="3" ht="43.5" customHeight="1" spans="1:11">
      <c r="A3" s="9" t="s">
        <v>363</v>
      </c>
      <c r="B3" s="9"/>
      <c r="C3" s="9"/>
      <c r="D3" s="9"/>
      <c r="E3" s="9"/>
      <c r="F3" s="9"/>
      <c r="G3" s="9"/>
      <c r="H3" s="9"/>
      <c r="I3" s="9"/>
      <c r="J3" s="9"/>
      <c r="K3" s="9"/>
    </row>
    <row r="6" spans="1:11">
      <c r="A6" s="10" t="s">
        <v>364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8" spans="1:3">
      <c r="A8" s="11" t="s">
        <v>365</v>
      </c>
      <c r="B8" s="11"/>
      <c r="C8" s="12">
        <v>1210121020</v>
      </c>
    </row>
    <row r="10" spans="1:4">
      <c r="A10" s="11" t="s">
        <v>366</v>
      </c>
      <c r="B10" s="11"/>
      <c r="C10" s="11"/>
      <c r="D10" s="13" t="s">
        <v>367</v>
      </c>
    </row>
    <row r="11" spans="1:3">
      <c r="A11" s="11"/>
      <c r="B11" s="11"/>
      <c r="C11" s="11"/>
    </row>
    <row r="12" spans="1:4">
      <c r="A12" s="14" t="s">
        <v>368</v>
      </c>
      <c r="B12" s="15"/>
      <c r="C12" s="15"/>
      <c r="D12" s="15"/>
    </row>
    <row r="13" spans="1:4">
      <c r="A13" s="14" t="s">
        <v>369</v>
      </c>
      <c r="B13" s="15"/>
      <c r="C13" s="15"/>
      <c r="D13" s="15"/>
    </row>
    <row r="15" s="1" customFormat="1" ht="25.5" customHeight="1" spans="1:11">
      <c r="A15" s="16"/>
      <c r="B15" s="17" t="s">
        <v>370</v>
      </c>
      <c r="C15" s="17" t="s">
        <v>371</v>
      </c>
      <c r="D15" s="17" t="s">
        <v>372</v>
      </c>
      <c r="E15" s="17"/>
      <c r="F15" s="17"/>
      <c r="G15" s="17"/>
      <c r="H15" s="17" t="s">
        <v>373</v>
      </c>
      <c r="I15" s="17" t="s">
        <v>374</v>
      </c>
      <c r="J15" s="17" t="s">
        <v>375</v>
      </c>
      <c r="K15" s="17" t="s">
        <v>376</v>
      </c>
    </row>
    <row r="16" s="1" customFormat="1" ht="12" spans="1:11">
      <c r="A16" s="16"/>
      <c r="B16" s="17"/>
      <c r="C16" s="17"/>
      <c r="D16" s="16" t="s">
        <v>377</v>
      </c>
      <c r="E16" s="16" t="s">
        <v>54</v>
      </c>
      <c r="F16" s="16"/>
      <c r="G16" s="16"/>
      <c r="H16" s="17"/>
      <c r="I16" s="17"/>
      <c r="J16" s="17"/>
      <c r="K16" s="17"/>
    </row>
    <row r="17" s="2" customFormat="1" ht="36" spans="1:11">
      <c r="A17" s="16"/>
      <c r="B17" s="17"/>
      <c r="C17" s="17"/>
      <c r="D17" s="16"/>
      <c r="E17" s="18" t="s">
        <v>378</v>
      </c>
      <c r="F17" s="18" t="s">
        <v>379</v>
      </c>
      <c r="G17" s="18" t="s">
        <v>380</v>
      </c>
      <c r="H17" s="17"/>
      <c r="I17" s="17"/>
      <c r="J17" s="17"/>
      <c r="K17" s="17"/>
    </row>
    <row r="18" s="3" customFormat="1" spans="1:11">
      <c r="A18" s="19">
        <v>1</v>
      </c>
      <c r="B18" s="19">
        <v>2</v>
      </c>
      <c r="C18" s="19">
        <v>3</v>
      </c>
      <c r="D18" s="19">
        <v>4</v>
      </c>
      <c r="E18" s="19">
        <v>5</v>
      </c>
      <c r="F18" s="19">
        <v>6</v>
      </c>
      <c r="G18" s="19">
        <v>7</v>
      </c>
      <c r="H18" s="19">
        <v>8</v>
      </c>
      <c r="I18" s="19">
        <v>9</v>
      </c>
      <c r="J18" s="19">
        <v>10</v>
      </c>
      <c r="K18" s="19">
        <v>11</v>
      </c>
    </row>
    <row r="19" s="3" customFormat="1" spans="1:11">
      <c r="A19" s="19"/>
      <c r="B19" s="19" t="s">
        <v>381</v>
      </c>
      <c r="C19" s="19"/>
      <c r="D19" s="19"/>
      <c r="E19" s="19"/>
      <c r="F19" s="19"/>
      <c r="G19" s="19"/>
      <c r="H19" s="19"/>
      <c r="I19" s="19"/>
      <c r="J19" s="19"/>
      <c r="K19" s="19"/>
    </row>
    <row r="20" ht="24" spans="1:11">
      <c r="A20" s="20">
        <v>1</v>
      </c>
      <c r="B20" s="18" t="s">
        <v>382</v>
      </c>
      <c r="C20" s="21"/>
      <c r="D20" s="21">
        <f>E20+F20+G20</f>
        <v>0</v>
      </c>
      <c r="E20" s="21"/>
      <c r="F20" s="21"/>
      <c r="G20" s="21"/>
      <c r="H20" s="21"/>
      <c r="I20" s="21">
        <f>C20*D20+H20</f>
        <v>0</v>
      </c>
      <c r="J20" s="21"/>
      <c r="K20" s="21"/>
    </row>
    <row r="21" spans="1:11">
      <c r="A21" s="20">
        <v>2</v>
      </c>
      <c r="B21" s="18" t="s">
        <v>383</v>
      </c>
      <c r="C21" s="21"/>
      <c r="D21" s="21">
        <f t="shared" ref="D21:D29" si="0">E21+F21+G21</f>
        <v>0</v>
      </c>
      <c r="E21" s="21"/>
      <c r="F21" s="21"/>
      <c r="G21" s="21"/>
      <c r="H21" s="21"/>
      <c r="I21" s="21">
        <f t="shared" ref="I21:I28" si="1">C21*D21+H21</f>
        <v>0</v>
      </c>
      <c r="J21" s="21"/>
      <c r="K21" s="21"/>
    </row>
    <row r="22" spans="1:11">
      <c r="A22" s="20">
        <v>3</v>
      </c>
      <c r="B22" s="18" t="s">
        <v>384</v>
      </c>
      <c r="C22" s="21">
        <v>21.9</v>
      </c>
      <c r="D22" s="21">
        <f t="shared" si="0"/>
        <v>9857.94</v>
      </c>
      <c r="E22" s="21">
        <v>9263.25</v>
      </c>
      <c r="F22" s="21">
        <v>439.11</v>
      </c>
      <c r="G22" s="21">
        <v>155.58</v>
      </c>
      <c r="H22" s="21"/>
      <c r="I22" s="36">
        <f>ROUND((C22*D22+H22)*9,0)</f>
        <v>1943000</v>
      </c>
      <c r="J22" s="36">
        <v>2693012</v>
      </c>
      <c r="K22" s="42">
        <v>2812137</v>
      </c>
    </row>
    <row r="23" spans="1:11">
      <c r="A23" s="19"/>
      <c r="B23" s="19"/>
      <c r="C23" s="19"/>
      <c r="D23" s="21">
        <f t="shared" si="0"/>
        <v>0</v>
      </c>
      <c r="E23" s="21"/>
      <c r="F23" s="21"/>
      <c r="G23" s="21"/>
      <c r="H23" s="21"/>
      <c r="I23" s="36">
        <f t="shared" si="1"/>
        <v>0</v>
      </c>
      <c r="J23" s="36"/>
      <c r="K23" s="36"/>
    </row>
    <row r="24" s="3" customFormat="1" spans="1:11">
      <c r="A24" s="19"/>
      <c r="B24" s="19" t="s">
        <v>385</v>
      </c>
      <c r="C24" s="19"/>
      <c r="D24" s="19"/>
      <c r="E24" s="19"/>
      <c r="F24" s="19"/>
      <c r="G24" s="19"/>
      <c r="H24" s="19"/>
      <c r="I24" s="19"/>
      <c r="J24" s="19"/>
      <c r="K24" s="19"/>
    </row>
    <row r="25" ht="24" spans="1:11">
      <c r="A25" s="20">
        <v>1</v>
      </c>
      <c r="B25" s="18" t="s">
        <v>382</v>
      </c>
      <c r="C25" s="21"/>
      <c r="D25" s="21">
        <f>E25+F25+G25</f>
        <v>0</v>
      </c>
      <c r="E25" s="21"/>
      <c r="F25" s="21"/>
      <c r="G25" s="21"/>
      <c r="H25" s="21"/>
      <c r="I25" s="21">
        <f>C25*D25+H25</f>
        <v>0</v>
      </c>
      <c r="J25" s="21"/>
      <c r="K25" s="21"/>
    </row>
    <row r="26" spans="1:11">
      <c r="A26" s="20">
        <v>2</v>
      </c>
      <c r="B26" s="18" t="s">
        <v>383</v>
      </c>
      <c r="C26" s="21"/>
      <c r="D26" s="21">
        <f t="shared" ref="D26:D27" si="2">E26+F26+G26</f>
        <v>0</v>
      </c>
      <c r="E26" s="21"/>
      <c r="F26" s="21"/>
      <c r="G26" s="21"/>
      <c r="H26" s="21"/>
      <c r="I26" s="21">
        <f t="shared" ref="I26" si="3">C26*D26+H26</f>
        <v>0</v>
      </c>
      <c r="J26" s="21"/>
      <c r="K26" s="21"/>
    </row>
    <row r="27" spans="1:11">
      <c r="A27" s="20">
        <v>3</v>
      </c>
      <c r="B27" s="18" t="s">
        <v>384</v>
      </c>
      <c r="C27" s="21">
        <v>21.9</v>
      </c>
      <c r="D27" s="21">
        <f t="shared" si="2"/>
        <v>10135.61</v>
      </c>
      <c r="E27" s="21">
        <f>ROUND(E22*1.03,2)</f>
        <v>9541.15</v>
      </c>
      <c r="F27" s="21">
        <f>ROUND(F22*1.03,2)</f>
        <v>452.28</v>
      </c>
      <c r="G27" s="21">
        <v>142.18</v>
      </c>
      <c r="H27" s="21"/>
      <c r="I27" s="36">
        <f>ROUND((C27*D27+H27)*3,0)</f>
        <v>665910</v>
      </c>
      <c r="J27" s="36"/>
      <c r="K27" s="42"/>
    </row>
    <row r="28" spans="1:11">
      <c r="A28" s="20"/>
      <c r="B28" s="22"/>
      <c r="C28" s="21"/>
      <c r="D28" s="21">
        <f t="shared" si="0"/>
        <v>0</v>
      </c>
      <c r="E28" s="21"/>
      <c r="F28" s="21"/>
      <c r="G28" s="21"/>
      <c r="H28" s="21"/>
      <c r="I28" s="36">
        <f t="shared" si="1"/>
        <v>0</v>
      </c>
      <c r="J28" s="36"/>
      <c r="K28" s="36"/>
    </row>
    <row r="29" ht="48" spans="1:11">
      <c r="A29" s="20"/>
      <c r="B29" s="18" t="s">
        <v>386</v>
      </c>
      <c r="C29" s="21"/>
      <c r="D29" s="21">
        <f t="shared" si="0"/>
        <v>0</v>
      </c>
      <c r="E29" s="21"/>
      <c r="F29" s="21"/>
      <c r="G29" s="21"/>
      <c r="H29" s="21"/>
      <c r="I29" s="21">
        <v>-2987.07</v>
      </c>
      <c r="J29" s="21"/>
      <c r="K29" s="21"/>
    </row>
    <row r="30" s="4" customFormat="1" ht="14.25" spans="1:11">
      <c r="A30" s="23" t="s">
        <v>387</v>
      </c>
      <c r="B30" s="24"/>
      <c r="C30" s="24"/>
      <c r="D30" s="24"/>
      <c r="E30" s="24"/>
      <c r="F30" s="24"/>
      <c r="G30" s="24"/>
      <c r="H30" s="24"/>
      <c r="I30" s="39">
        <f>SUM(I20:I29)</f>
        <v>2605922.93</v>
      </c>
      <c r="J30" s="39">
        <f t="shared" ref="J30:K30" si="4">SUM(J20:J29)</f>
        <v>2693012</v>
      </c>
      <c r="K30" s="39">
        <f t="shared" si="4"/>
        <v>2812137</v>
      </c>
    </row>
    <row r="32" s="5" customFormat="1" ht="14.25" hidden="1" spans="1:11">
      <c r="A32" s="5" t="s">
        <v>388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</row>
    <row r="33" hidden="1"/>
    <row r="34" s="1" customFormat="1" ht="27" hidden="1" customHeight="1" spans="1:11">
      <c r="A34" s="25" t="s">
        <v>389</v>
      </c>
      <c r="B34" s="18" t="s">
        <v>390</v>
      </c>
      <c r="C34" s="18" t="s">
        <v>391</v>
      </c>
      <c r="D34" s="18" t="s">
        <v>392</v>
      </c>
      <c r="E34" s="18" t="s">
        <v>393</v>
      </c>
      <c r="F34" s="18" t="s">
        <v>394</v>
      </c>
      <c r="G34" s="18" t="s">
        <v>394</v>
      </c>
      <c r="H34" s="18" t="s">
        <v>394</v>
      </c>
      <c r="I34" s="43"/>
      <c r="J34" s="43"/>
      <c r="K34" s="43"/>
    </row>
    <row r="35" s="3" customFormat="1" hidden="1" spans="1:8">
      <c r="A35" s="19">
        <v>1</v>
      </c>
      <c r="B35" s="19">
        <v>2</v>
      </c>
      <c r="C35" s="19">
        <v>3</v>
      </c>
      <c r="D35" s="19">
        <v>4</v>
      </c>
      <c r="E35" s="19">
        <v>5</v>
      </c>
      <c r="F35" s="19">
        <v>6</v>
      </c>
      <c r="G35" s="19">
        <v>7</v>
      </c>
      <c r="H35" s="19">
        <v>8</v>
      </c>
    </row>
    <row r="36" hidden="1" spans="1:8">
      <c r="A36" s="20"/>
      <c r="B36" s="21"/>
      <c r="C36" s="21"/>
      <c r="D36" s="21"/>
      <c r="E36" s="21"/>
      <c r="F36" s="21"/>
      <c r="G36" s="21"/>
      <c r="H36" s="21"/>
    </row>
    <row r="37" hidden="1" spans="1:8">
      <c r="A37" s="20"/>
      <c r="B37" s="21"/>
      <c r="C37" s="21"/>
      <c r="D37" s="21"/>
      <c r="E37" s="21"/>
      <c r="F37" s="21"/>
      <c r="G37" s="21"/>
      <c r="H37" s="21"/>
    </row>
    <row r="38" hidden="1" spans="1:8">
      <c r="A38" s="20"/>
      <c r="B38" s="21"/>
      <c r="C38" s="21"/>
      <c r="D38" s="21"/>
      <c r="E38" s="21"/>
      <c r="F38" s="21"/>
      <c r="G38" s="21"/>
      <c r="H38" s="21"/>
    </row>
    <row r="39" hidden="1" spans="1:8">
      <c r="A39" s="20"/>
      <c r="B39" s="21"/>
      <c r="C39" s="21"/>
      <c r="D39" s="21"/>
      <c r="E39" s="21"/>
      <c r="F39" s="21"/>
      <c r="G39" s="21"/>
      <c r="H39" s="21"/>
    </row>
    <row r="40" hidden="1" spans="1:8">
      <c r="A40" s="20"/>
      <c r="B40" s="21"/>
      <c r="C40" s="21"/>
      <c r="D40" s="21"/>
      <c r="E40" s="21"/>
      <c r="F40" s="21"/>
      <c r="G40" s="21"/>
      <c r="H40" s="21"/>
    </row>
    <row r="41" hidden="1" spans="1:8">
      <c r="A41" s="20"/>
      <c r="B41" s="21"/>
      <c r="C41" s="21"/>
      <c r="D41" s="21"/>
      <c r="E41" s="21"/>
      <c r="F41" s="21"/>
      <c r="G41" s="21"/>
      <c r="H41" s="21"/>
    </row>
    <row r="42" hidden="1" spans="1:8">
      <c r="A42" s="20"/>
      <c r="B42" s="21"/>
      <c r="C42" s="21"/>
      <c r="D42" s="21"/>
      <c r="E42" s="21"/>
      <c r="F42" s="21"/>
      <c r="G42" s="21"/>
      <c r="H42" s="21"/>
    </row>
    <row r="43" hidden="1"/>
    <row r="44" ht="44.25" customHeight="1" spans="1:8">
      <c r="A44" s="26" t="s">
        <v>395</v>
      </c>
      <c r="B44" s="26"/>
      <c r="C44" s="26"/>
      <c r="D44" s="26"/>
      <c r="E44" s="26"/>
      <c r="F44" s="26"/>
      <c r="G44" s="26"/>
      <c r="H44" s="26"/>
    </row>
    <row r="46" ht="48" spans="1:8">
      <c r="A46" s="25" t="s">
        <v>389</v>
      </c>
      <c r="B46" s="27" t="s">
        <v>396</v>
      </c>
      <c r="C46" s="28"/>
      <c r="D46" s="29"/>
      <c r="E46" s="18" t="s">
        <v>397</v>
      </c>
      <c r="F46" s="18" t="s">
        <v>398</v>
      </c>
      <c r="G46" s="18" t="s">
        <v>399</v>
      </c>
      <c r="H46" s="18" t="s">
        <v>400</v>
      </c>
    </row>
    <row r="47" spans="1:8">
      <c r="A47" s="19">
        <v>1</v>
      </c>
      <c r="B47" s="30">
        <v>2</v>
      </c>
      <c r="C47" s="31"/>
      <c r="D47" s="32"/>
      <c r="E47" s="19">
        <v>3</v>
      </c>
      <c r="F47" s="19">
        <v>4</v>
      </c>
      <c r="G47" s="19">
        <v>5</v>
      </c>
      <c r="H47" s="19">
        <v>6</v>
      </c>
    </row>
    <row r="48" ht="30" customHeight="1" spans="1:8">
      <c r="A48" s="20">
        <v>1</v>
      </c>
      <c r="B48" s="33" t="s">
        <v>401</v>
      </c>
      <c r="C48" s="34"/>
      <c r="D48" s="35"/>
      <c r="E48" s="36"/>
      <c r="F48" s="36">
        <f>F50</f>
        <v>573960</v>
      </c>
      <c r="G48" s="36">
        <f t="shared" ref="G48" si="5">G50</f>
        <v>592463</v>
      </c>
      <c r="H48" s="36">
        <f t="shared" ref="H48" si="6">H50</f>
        <v>618670</v>
      </c>
    </row>
    <row r="49" ht="21" customHeight="1" spans="1:8">
      <c r="A49" s="20"/>
      <c r="B49" s="33" t="s">
        <v>54</v>
      </c>
      <c r="C49" s="34"/>
      <c r="D49" s="35"/>
      <c r="E49" s="36"/>
      <c r="F49" s="36"/>
      <c r="G49" s="36"/>
      <c r="H49" s="36"/>
    </row>
    <row r="50" ht="21" customHeight="1" spans="1:8">
      <c r="A50" s="37"/>
      <c r="B50" s="33" t="s">
        <v>402</v>
      </c>
      <c r="C50" s="34"/>
      <c r="D50" s="35"/>
      <c r="E50" s="36">
        <f>I22+I27</f>
        <v>2608910</v>
      </c>
      <c r="F50" s="36">
        <f>ROUND(E50*0.22,0)</f>
        <v>573960</v>
      </c>
      <c r="G50" s="36">
        <f>ROUND(J30*0.22,0)</f>
        <v>592463</v>
      </c>
      <c r="H50" s="36">
        <f>ROUND(K30*0.22,0)</f>
        <v>618670</v>
      </c>
    </row>
    <row r="51" ht="27.75" customHeight="1" spans="1:8">
      <c r="A51" s="20">
        <v>2</v>
      </c>
      <c r="B51" s="33" t="s">
        <v>403</v>
      </c>
      <c r="C51" s="34"/>
      <c r="D51" s="35"/>
      <c r="E51" s="36"/>
      <c r="F51" s="36">
        <f>F52+F53</f>
        <v>80876</v>
      </c>
      <c r="G51" s="36">
        <f t="shared" ref="G51:H51" si="7">G52+G53</f>
        <v>83483</v>
      </c>
      <c r="H51" s="36">
        <f t="shared" si="7"/>
        <v>87176</v>
      </c>
    </row>
    <row r="52" ht="42" customHeight="1" spans="1:8">
      <c r="A52" s="20"/>
      <c r="B52" s="33" t="s">
        <v>404</v>
      </c>
      <c r="C52" s="34"/>
      <c r="D52" s="35"/>
      <c r="E52" s="36">
        <f>E50</f>
        <v>2608910</v>
      </c>
      <c r="F52" s="36">
        <f>ROUND(E52*0.029,0)</f>
        <v>75658</v>
      </c>
      <c r="G52" s="36">
        <f>ROUND(J30*0.029,0)</f>
        <v>78097</v>
      </c>
      <c r="H52" s="36">
        <f>ROUND(K30*0.029,0)</f>
        <v>81552</v>
      </c>
    </row>
    <row r="53" ht="39" customHeight="1" spans="1:8">
      <c r="A53" s="20"/>
      <c r="B53" s="33" t="s">
        <v>405</v>
      </c>
      <c r="C53" s="34"/>
      <c r="D53" s="35"/>
      <c r="E53" s="36">
        <f>E52</f>
        <v>2608910</v>
      </c>
      <c r="F53" s="36">
        <f>ROUND(E53*0.002,0)</f>
        <v>5218</v>
      </c>
      <c r="G53" s="36">
        <f>ROUND(J30*0.002,0)</f>
        <v>5386</v>
      </c>
      <c r="H53" s="36">
        <f>ROUND(K30*0.002,0)</f>
        <v>5624</v>
      </c>
    </row>
    <row r="54" ht="35.25" customHeight="1" spans="1:8">
      <c r="A54" s="20">
        <v>3</v>
      </c>
      <c r="B54" s="33" t="s">
        <v>406</v>
      </c>
      <c r="C54" s="34"/>
      <c r="D54" s="35"/>
      <c r="E54" s="36">
        <f>E53</f>
        <v>2608910</v>
      </c>
      <c r="F54" s="36">
        <f>ROUND(E54*0.051,0)</f>
        <v>133054</v>
      </c>
      <c r="G54" s="36">
        <f>ROUND(J30*0.051,0)-2</f>
        <v>137342</v>
      </c>
      <c r="H54" s="36">
        <f>ROUND(K30*0.051,0)-2</f>
        <v>143417</v>
      </c>
    </row>
    <row r="55" s="4" customFormat="1" ht="14.25" spans="1:11">
      <c r="A55" s="23"/>
      <c r="B55" s="38" t="s">
        <v>387</v>
      </c>
      <c r="C55" s="38"/>
      <c r="D55" s="38"/>
      <c r="E55" s="39"/>
      <c r="F55" s="39">
        <f>F48+F51+F54</f>
        <v>787890</v>
      </c>
      <c r="G55" s="39">
        <f t="shared" ref="G55:H55" si="8">G48+G51+G54</f>
        <v>813288</v>
      </c>
      <c r="H55" s="39">
        <f t="shared" si="8"/>
        <v>849263</v>
      </c>
      <c r="I55" s="44"/>
      <c r="J55" s="44"/>
      <c r="K55" s="44"/>
    </row>
    <row r="57" s="5" customFormat="1" ht="14.25" spans="1:11">
      <c r="A57" s="5" t="s">
        <v>407</v>
      </c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9" ht="48.75" customHeight="1" spans="1:8">
      <c r="A59" s="25" t="s">
        <v>389</v>
      </c>
      <c r="B59" s="27" t="s">
        <v>24</v>
      </c>
      <c r="C59" s="29"/>
      <c r="D59" s="18" t="s">
        <v>408</v>
      </c>
      <c r="E59" s="18" t="s">
        <v>409</v>
      </c>
      <c r="F59" s="18" t="s">
        <v>410</v>
      </c>
      <c r="G59" s="18" t="s">
        <v>411</v>
      </c>
      <c r="H59" s="18" t="s">
        <v>412</v>
      </c>
    </row>
    <row r="60" spans="1:8">
      <c r="A60" s="19">
        <v>1</v>
      </c>
      <c r="B60" s="30">
        <v>2</v>
      </c>
      <c r="C60" s="32"/>
      <c r="D60" s="19">
        <v>3</v>
      </c>
      <c r="E60" s="19">
        <v>4</v>
      </c>
      <c r="F60" s="19">
        <v>5</v>
      </c>
      <c r="G60" s="19">
        <v>6</v>
      </c>
      <c r="H60" s="19">
        <v>7</v>
      </c>
    </row>
    <row r="61" spans="1:8">
      <c r="A61" s="20">
        <v>1</v>
      </c>
      <c r="B61" s="30" t="s">
        <v>413</v>
      </c>
      <c r="C61" s="32"/>
      <c r="D61" s="21">
        <v>50</v>
      </c>
      <c r="E61" s="21">
        <v>120</v>
      </c>
      <c r="F61" s="36">
        <f>D61*E61</f>
        <v>6000</v>
      </c>
      <c r="G61" s="36">
        <v>6000</v>
      </c>
      <c r="H61" s="36">
        <v>6000</v>
      </c>
    </row>
    <row r="62" spans="1:8">
      <c r="A62" s="20">
        <v>2</v>
      </c>
      <c r="B62" s="30" t="s">
        <v>414</v>
      </c>
      <c r="C62" s="32"/>
      <c r="D62" s="21">
        <v>2987.07</v>
      </c>
      <c r="E62" s="21">
        <v>1</v>
      </c>
      <c r="F62" s="36">
        <f t="shared" ref="F62:F66" si="9">D62*E62</f>
        <v>2987.07</v>
      </c>
      <c r="G62" s="36"/>
      <c r="H62" s="36"/>
    </row>
    <row r="63" hidden="1" spans="1:8">
      <c r="A63" s="20"/>
      <c r="B63" s="30"/>
      <c r="C63" s="32"/>
      <c r="D63" s="21"/>
      <c r="E63" s="21"/>
      <c r="F63" s="36">
        <f t="shared" si="9"/>
        <v>0</v>
      </c>
      <c r="G63" s="36"/>
      <c r="H63" s="36"/>
    </row>
    <row r="64" hidden="1" spans="1:8">
      <c r="A64" s="20"/>
      <c r="B64" s="30"/>
      <c r="C64" s="32"/>
      <c r="D64" s="21"/>
      <c r="E64" s="21"/>
      <c r="F64" s="36">
        <f t="shared" si="9"/>
        <v>0</v>
      </c>
      <c r="G64" s="36"/>
      <c r="H64" s="36"/>
    </row>
    <row r="65" hidden="1" spans="1:8">
      <c r="A65" s="20"/>
      <c r="B65" s="30"/>
      <c r="C65" s="32"/>
      <c r="D65" s="21"/>
      <c r="E65" s="21"/>
      <c r="F65" s="36">
        <f t="shared" si="9"/>
        <v>0</v>
      </c>
      <c r="G65" s="36"/>
      <c r="H65" s="36"/>
    </row>
    <row r="66" hidden="1" spans="1:8">
      <c r="A66" s="20"/>
      <c r="B66" s="30"/>
      <c r="C66" s="32"/>
      <c r="D66" s="21"/>
      <c r="E66" s="21"/>
      <c r="F66" s="36">
        <f t="shared" si="9"/>
        <v>0</v>
      </c>
      <c r="G66" s="36"/>
      <c r="H66" s="36"/>
    </row>
    <row r="67" s="4" customFormat="1" ht="14.25" spans="1:11">
      <c r="A67" s="23"/>
      <c r="B67" s="45" t="s">
        <v>387</v>
      </c>
      <c r="C67" s="46"/>
      <c r="D67" s="24"/>
      <c r="E67" s="24"/>
      <c r="F67" s="39">
        <f>SUM(F61:F66)</f>
        <v>8987.07</v>
      </c>
      <c r="G67" s="39">
        <f t="shared" ref="G67:H67" si="10">SUM(G61:G66)</f>
        <v>6000</v>
      </c>
      <c r="H67" s="39">
        <f t="shared" si="10"/>
        <v>6000</v>
      </c>
      <c r="I67" s="44"/>
      <c r="J67" s="44"/>
      <c r="K67" s="44"/>
    </row>
    <row r="69" s="5" customFormat="1" ht="14.25" spans="1:11">
      <c r="A69" s="5" t="s">
        <v>415</v>
      </c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1" ht="72" spans="1:8">
      <c r="A71" s="25" t="s">
        <v>389</v>
      </c>
      <c r="B71" s="27" t="s">
        <v>416</v>
      </c>
      <c r="C71" s="29"/>
      <c r="D71" s="18" t="s">
        <v>417</v>
      </c>
      <c r="E71" s="18" t="s">
        <v>418</v>
      </c>
      <c r="F71" s="18" t="s">
        <v>419</v>
      </c>
      <c r="G71" s="18" t="s">
        <v>420</v>
      </c>
      <c r="H71" s="18" t="s">
        <v>421</v>
      </c>
    </row>
    <row r="72" spans="1:8">
      <c r="A72" s="19">
        <v>1</v>
      </c>
      <c r="B72" s="30">
        <v>2</v>
      </c>
      <c r="C72" s="32"/>
      <c r="D72" s="19">
        <v>3</v>
      </c>
      <c r="E72" s="19">
        <v>4</v>
      </c>
      <c r="F72" s="19">
        <v>5</v>
      </c>
      <c r="G72" s="19">
        <v>6</v>
      </c>
      <c r="H72" s="19">
        <v>7</v>
      </c>
    </row>
    <row r="73" spans="1:8">
      <c r="A73" s="20">
        <v>1</v>
      </c>
      <c r="B73" s="47" t="s">
        <v>422</v>
      </c>
      <c r="C73" s="48"/>
      <c r="D73" s="21">
        <v>26695297.92</v>
      </c>
      <c r="E73" s="49">
        <v>0.015</v>
      </c>
      <c r="F73" s="36">
        <f>ROUND(D73*E73,0)</f>
        <v>400429</v>
      </c>
      <c r="G73" s="36">
        <f>F73</f>
        <v>400429</v>
      </c>
      <c r="H73" s="36">
        <f>G73</f>
        <v>400429</v>
      </c>
    </row>
    <row r="74" spans="1:8">
      <c r="A74" s="20">
        <v>5</v>
      </c>
      <c r="B74" s="47" t="s">
        <v>423</v>
      </c>
      <c r="C74" s="48"/>
      <c r="D74" s="21">
        <v>39766864</v>
      </c>
      <c r="E74" s="49">
        <v>0.022</v>
      </c>
      <c r="F74" s="36">
        <f>ROUND(D74*E74,0)</f>
        <v>874871</v>
      </c>
      <c r="G74" s="36">
        <f>F74</f>
        <v>874871</v>
      </c>
      <c r="H74" s="36">
        <f>G74</f>
        <v>874871</v>
      </c>
    </row>
    <row r="75" spans="1:8">
      <c r="A75" s="20"/>
      <c r="B75" s="30"/>
      <c r="C75" s="32"/>
      <c r="D75" s="21"/>
      <c r="E75" s="21"/>
      <c r="F75" s="36"/>
      <c r="G75" s="36"/>
      <c r="H75" s="36"/>
    </row>
    <row r="76" s="4" customFormat="1" ht="14.25" spans="1:11">
      <c r="A76" s="23"/>
      <c r="B76" s="45" t="s">
        <v>387</v>
      </c>
      <c r="C76" s="46"/>
      <c r="D76" s="24"/>
      <c r="E76" s="24"/>
      <c r="F76" s="39">
        <f>SUM(F73:F75)</f>
        <v>1275300</v>
      </c>
      <c r="G76" s="39">
        <f>SUM(G73:G75)</f>
        <v>1275300</v>
      </c>
      <c r="H76" s="39">
        <f>SUM(H73:H75)</f>
        <v>1275300</v>
      </c>
      <c r="I76" s="44"/>
      <c r="J76" s="44"/>
      <c r="K76" s="44"/>
    </row>
    <row r="78" ht="27" hidden="1" customHeight="1" spans="1:8">
      <c r="A78" s="50" t="s">
        <v>424</v>
      </c>
      <c r="B78" s="50"/>
      <c r="C78" s="50"/>
      <c r="D78" s="50"/>
      <c r="E78" s="50"/>
      <c r="F78" s="50"/>
      <c r="G78" s="50"/>
      <c r="H78" s="50"/>
    </row>
    <row r="79" hidden="1"/>
    <row r="80" ht="27" hidden="1" customHeight="1" spans="1:8">
      <c r="A80" s="25" t="s">
        <v>389</v>
      </c>
      <c r="B80" s="27" t="s">
        <v>24</v>
      </c>
      <c r="C80" s="29"/>
      <c r="D80" s="18" t="s">
        <v>425</v>
      </c>
      <c r="E80" s="18" t="s">
        <v>409</v>
      </c>
      <c r="F80" s="18" t="s">
        <v>426</v>
      </c>
      <c r="G80" s="18" t="s">
        <v>426</v>
      </c>
      <c r="H80" s="18" t="s">
        <v>426</v>
      </c>
    </row>
    <row r="81" hidden="1" spans="1:8">
      <c r="A81" s="19">
        <v>1</v>
      </c>
      <c r="B81" s="30">
        <v>2</v>
      </c>
      <c r="C81" s="32"/>
      <c r="D81" s="19">
        <v>3</v>
      </c>
      <c r="E81" s="19">
        <v>4</v>
      </c>
      <c r="F81" s="19">
        <v>5</v>
      </c>
      <c r="G81" s="19">
        <v>6</v>
      </c>
      <c r="H81" s="19">
        <v>7</v>
      </c>
    </row>
    <row r="82" hidden="1" spans="1:8">
      <c r="A82" s="20"/>
      <c r="B82" s="30"/>
      <c r="C82" s="32"/>
      <c r="D82" s="21"/>
      <c r="E82" s="21"/>
      <c r="F82" s="21"/>
      <c r="G82" s="21"/>
      <c r="H82" s="21"/>
    </row>
    <row r="83" hidden="1" spans="1:8">
      <c r="A83" s="20"/>
      <c r="B83" s="30"/>
      <c r="C83" s="32"/>
      <c r="D83" s="21"/>
      <c r="E83" s="21"/>
      <c r="F83" s="21"/>
      <c r="G83" s="21"/>
      <c r="H83" s="21"/>
    </row>
    <row r="84" hidden="1" spans="1:8">
      <c r="A84" s="20"/>
      <c r="B84" s="30"/>
      <c r="C84" s="32"/>
      <c r="D84" s="21"/>
      <c r="E84" s="21"/>
      <c r="F84" s="21"/>
      <c r="G84" s="21"/>
      <c r="H84" s="21"/>
    </row>
    <row r="85" hidden="1" spans="1:8">
      <c r="A85" s="20"/>
      <c r="B85" s="30"/>
      <c r="C85" s="32"/>
      <c r="D85" s="21"/>
      <c r="E85" s="21"/>
      <c r="F85" s="21"/>
      <c r="G85" s="21"/>
      <c r="H85" s="21"/>
    </row>
    <row r="86" hidden="1" spans="1:8">
      <c r="A86" s="20"/>
      <c r="B86" s="30"/>
      <c r="C86" s="32"/>
      <c r="D86" s="21"/>
      <c r="E86" s="21"/>
      <c r="F86" s="21"/>
      <c r="G86" s="21"/>
      <c r="H86" s="21"/>
    </row>
    <row r="87" hidden="1" spans="1:8">
      <c r="A87" s="20"/>
      <c r="B87" s="30"/>
      <c r="C87" s="32"/>
      <c r="D87" s="21"/>
      <c r="E87" s="21"/>
      <c r="F87" s="21"/>
      <c r="G87" s="21"/>
      <c r="H87" s="21"/>
    </row>
    <row r="88" hidden="1" spans="1:8">
      <c r="A88" s="20"/>
      <c r="B88" s="30" t="s">
        <v>387</v>
      </c>
      <c r="C88" s="32"/>
      <c r="D88" s="21"/>
      <c r="E88" s="21"/>
      <c r="F88" s="21"/>
      <c r="G88" s="21"/>
      <c r="H88" s="21"/>
    </row>
    <row r="90" s="5" customFormat="1" ht="14.25" customHeight="1" spans="1:11">
      <c r="A90" s="5" t="s">
        <v>427</v>
      </c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="5" customFormat="1" ht="14.25" customHeight="1" spans="1:11">
      <c r="A91" s="5" t="s">
        <v>428</v>
      </c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3" ht="36" spans="1:9">
      <c r="A93" s="25" t="s">
        <v>389</v>
      </c>
      <c r="B93" s="27" t="s">
        <v>429</v>
      </c>
      <c r="C93" s="29"/>
      <c r="D93" s="18" t="s">
        <v>429</v>
      </c>
      <c r="E93" s="18" t="s">
        <v>430</v>
      </c>
      <c r="F93" s="18" t="s">
        <v>431</v>
      </c>
      <c r="G93" s="18" t="s">
        <v>410</v>
      </c>
      <c r="H93" s="18" t="s">
        <v>411</v>
      </c>
      <c r="I93" s="18" t="s">
        <v>412</v>
      </c>
    </row>
    <row r="94" spans="1:9">
      <c r="A94" s="19">
        <v>1</v>
      </c>
      <c r="B94" s="30">
        <v>2</v>
      </c>
      <c r="C94" s="32"/>
      <c r="D94" s="19">
        <v>3</v>
      </c>
      <c r="E94" s="19">
        <v>4</v>
      </c>
      <c r="F94" s="19">
        <v>5</v>
      </c>
      <c r="G94" s="19">
        <v>6</v>
      </c>
      <c r="H94" s="19">
        <v>7</v>
      </c>
      <c r="I94" s="19">
        <v>8</v>
      </c>
    </row>
    <row r="95" ht="28.5" customHeight="1" spans="1:9">
      <c r="A95" s="20"/>
      <c r="B95" s="52" t="s">
        <v>432</v>
      </c>
      <c r="C95" s="53"/>
      <c r="D95" s="21"/>
      <c r="E95" s="21"/>
      <c r="F95" s="21"/>
      <c r="G95" s="36"/>
      <c r="H95" s="36"/>
      <c r="I95" s="36"/>
    </row>
    <row r="96" ht="28.5" customHeight="1" spans="1:9">
      <c r="A96" s="20"/>
      <c r="B96" s="52" t="s">
        <v>433</v>
      </c>
      <c r="C96" s="53"/>
      <c r="D96" s="21"/>
      <c r="E96" s="21"/>
      <c r="F96" s="21"/>
      <c r="G96" s="36"/>
      <c r="H96" s="36"/>
      <c r="I96" s="36"/>
    </row>
    <row r="97" spans="1:9">
      <c r="A97" s="20"/>
      <c r="B97" s="47" t="s">
        <v>434</v>
      </c>
      <c r="C97" s="48"/>
      <c r="D97" s="21">
        <v>3</v>
      </c>
      <c r="E97" s="21">
        <v>12</v>
      </c>
      <c r="F97" s="21">
        <v>252</v>
      </c>
      <c r="G97" s="36">
        <f>D97*E97*F97</f>
        <v>9072</v>
      </c>
      <c r="H97" s="36">
        <v>9072</v>
      </c>
      <c r="I97" s="36">
        <v>9072</v>
      </c>
    </row>
    <row r="98" spans="1:9">
      <c r="A98" s="20"/>
      <c r="B98" s="47" t="s">
        <v>435</v>
      </c>
      <c r="C98" s="48"/>
      <c r="D98" s="21">
        <v>621.72</v>
      </c>
      <c r="E98" s="21">
        <v>12</v>
      </c>
      <c r="F98" s="21">
        <v>0.62</v>
      </c>
      <c r="G98" s="36">
        <f t="shared" ref="G98:G99" si="11">D98*E98*F98</f>
        <v>4625.5968</v>
      </c>
      <c r="H98" s="36">
        <v>4625.5968</v>
      </c>
      <c r="I98" s="36">
        <v>4625.5968</v>
      </c>
    </row>
    <row r="99" spans="1:9">
      <c r="A99" s="20"/>
      <c r="B99" s="47" t="s">
        <v>436</v>
      </c>
      <c r="C99" s="48"/>
      <c r="D99" s="21">
        <v>2</v>
      </c>
      <c r="E99" s="21">
        <v>12</v>
      </c>
      <c r="F99" s="21">
        <v>2387.6</v>
      </c>
      <c r="G99" s="36">
        <f t="shared" si="11"/>
        <v>57302.4</v>
      </c>
      <c r="H99" s="36">
        <v>57302.4</v>
      </c>
      <c r="I99" s="36">
        <v>57302.4</v>
      </c>
    </row>
    <row r="100" spans="1:9">
      <c r="A100" s="20"/>
      <c r="B100" s="30"/>
      <c r="C100" s="32"/>
      <c r="D100" s="21"/>
      <c r="E100" s="21"/>
      <c r="F100" s="21"/>
      <c r="G100" s="36"/>
      <c r="H100" s="36"/>
      <c r="I100" s="36"/>
    </row>
    <row r="101" s="4" customFormat="1" ht="14.25" spans="1:11">
      <c r="A101" s="23"/>
      <c r="B101" s="45" t="s">
        <v>387</v>
      </c>
      <c r="C101" s="46"/>
      <c r="D101" s="24"/>
      <c r="E101" s="24"/>
      <c r="F101" s="24"/>
      <c r="G101" s="39">
        <f>ROUND(SUM(G95:G100),0)</f>
        <v>71000</v>
      </c>
      <c r="H101" s="39">
        <f>SUM(H95:H100)</f>
        <v>70999.9968</v>
      </c>
      <c r="I101" s="39">
        <f>SUM(I95:I100)</f>
        <v>70999.9968</v>
      </c>
      <c r="J101" s="44"/>
      <c r="K101" s="44"/>
    </row>
    <row r="103" s="5" customFormat="1" ht="14.25" hidden="1" spans="1:11">
      <c r="A103" s="5" t="s">
        <v>437</v>
      </c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hidden="1"/>
    <row r="105" ht="36" hidden="1" spans="1:8">
      <c r="A105" s="25" t="s">
        <v>389</v>
      </c>
      <c r="B105" s="27" t="s">
        <v>416</v>
      </c>
      <c r="C105" s="29"/>
      <c r="D105" s="18" t="s">
        <v>438</v>
      </c>
      <c r="E105" s="18" t="s">
        <v>439</v>
      </c>
      <c r="F105" s="18" t="s">
        <v>410</v>
      </c>
      <c r="G105" s="18" t="s">
        <v>411</v>
      </c>
      <c r="H105" s="18" t="s">
        <v>412</v>
      </c>
    </row>
    <row r="106" hidden="1" spans="1:8">
      <c r="A106" s="19">
        <v>1</v>
      </c>
      <c r="B106" s="30">
        <v>2</v>
      </c>
      <c r="C106" s="32"/>
      <c r="D106" s="19">
        <v>3</v>
      </c>
      <c r="E106" s="19">
        <v>4</v>
      </c>
      <c r="F106" s="19">
        <v>5</v>
      </c>
      <c r="G106" s="19">
        <v>6</v>
      </c>
      <c r="H106" s="19">
        <v>7</v>
      </c>
    </row>
    <row r="107" hidden="1" spans="1:8">
      <c r="A107" s="20">
        <v>1</v>
      </c>
      <c r="B107" s="30" t="s">
        <v>440</v>
      </c>
      <c r="C107" s="32"/>
      <c r="D107" s="21"/>
      <c r="E107" s="21"/>
      <c r="F107" s="21">
        <f>D107*E107</f>
        <v>0</v>
      </c>
      <c r="G107" s="21"/>
      <c r="H107" s="21"/>
    </row>
    <row r="108" hidden="1" spans="1:8">
      <c r="A108" s="20"/>
      <c r="B108" s="30"/>
      <c r="C108" s="32"/>
      <c r="D108" s="21"/>
      <c r="E108" s="21"/>
      <c r="F108" s="21">
        <f t="shared" ref="F108:F112" si="12">D108*E108</f>
        <v>0</v>
      </c>
      <c r="G108" s="21"/>
      <c r="H108" s="21"/>
    </row>
    <row r="109" hidden="1" spans="1:8">
      <c r="A109" s="20"/>
      <c r="B109" s="30"/>
      <c r="C109" s="32"/>
      <c r="D109" s="21"/>
      <c r="E109" s="21"/>
      <c r="F109" s="21">
        <f t="shared" si="12"/>
        <v>0</v>
      </c>
      <c r="G109" s="21"/>
      <c r="H109" s="21"/>
    </row>
    <row r="110" hidden="1" spans="1:8">
      <c r="A110" s="20"/>
      <c r="B110" s="30"/>
      <c r="C110" s="32"/>
      <c r="D110" s="21"/>
      <c r="E110" s="21"/>
      <c r="F110" s="21">
        <f t="shared" si="12"/>
        <v>0</v>
      </c>
      <c r="G110" s="21"/>
      <c r="H110" s="21"/>
    </row>
    <row r="111" hidden="1" spans="1:8">
      <c r="A111" s="20"/>
      <c r="B111" s="30"/>
      <c r="C111" s="32"/>
      <c r="D111" s="21"/>
      <c r="E111" s="21"/>
      <c r="F111" s="21">
        <f t="shared" si="12"/>
        <v>0</v>
      </c>
      <c r="G111" s="21"/>
      <c r="H111" s="21"/>
    </row>
    <row r="112" hidden="1" spans="1:8">
      <c r="A112" s="20"/>
      <c r="B112" s="30"/>
      <c r="C112" s="32"/>
      <c r="D112" s="21"/>
      <c r="E112" s="21"/>
      <c r="F112" s="21">
        <f t="shared" si="12"/>
        <v>0</v>
      </c>
      <c r="G112" s="21"/>
      <c r="H112" s="21"/>
    </row>
    <row r="113" s="4" customFormat="1" ht="14.25" hidden="1" spans="1:11">
      <c r="A113" s="23"/>
      <c r="B113" s="45" t="s">
        <v>387</v>
      </c>
      <c r="C113" s="46"/>
      <c r="D113" s="24"/>
      <c r="E113" s="24"/>
      <c r="F113" s="24">
        <f>SUM(F107:F112)</f>
        <v>0</v>
      </c>
      <c r="G113" s="24">
        <f t="shared" ref="G113:H113" si="13">SUM(G107:G112)</f>
        <v>0</v>
      </c>
      <c r="H113" s="24">
        <f t="shared" si="13"/>
        <v>0</v>
      </c>
      <c r="I113" s="44"/>
      <c r="J113" s="44"/>
      <c r="K113" s="44"/>
    </row>
    <row r="115" s="5" customFormat="1" ht="14.25" spans="1:11">
      <c r="A115" s="5" t="s">
        <v>441</v>
      </c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7" ht="36" spans="1:9">
      <c r="A117" s="25" t="s">
        <v>389</v>
      </c>
      <c r="B117" s="27" t="s">
        <v>24</v>
      </c>
      <c r="C117" s="29"/>
      <c r="D117" s="18" t="s">
        <v>442</v>
      </c>
      <c r="E117" s="18" t="s">
        <v>443</v>
      </c>
      <c r="F117" s="18" t="s">
        <v>444</v>
      </c>
      <c r="G117" s="18" t="s">
        <v>410</v>
      </c>
      <c r="H117" s="18" t="s">
        <v>411</v>
      </c>
      <c r="I117" s="18" t="s">
        <v>412</v>
      </c>
    </row>
    <row r="118" spans="1:9">
      <c r="A118" s="19">
        <v>1</v>
      </c>
      <c r="B118" s="30">
        <v>2</v>
      </c>
      <c r="C118" s="32"/>
      <c r="D118" s="19">
        <v>3</v>
      </c>
      <c r="E118" s="19">
        <v>4</v>
      </c>
      <c r="F118" s="19">
        <v>5</v>
      </c>
      <c r="G118" s="19">
        <v>6</v>
      </c>
      <c r="H118" s="19">
        <v>7</v>
      </c>
      <c r="I118" s="19">
        <v>8</v>
      </c>
    </row>
    <row r="119" ht="29.25" customHeight="1" spans="1:9">
      <c r="A119" s="20">
        <v>1</v>
      </c>
      <c r="B119" s="54" t="s">
        <v>445</v>
      </c>
      <c r="C119" s="55"/>
      <c r="D119" s="21"/>
      <c r="E119" s="21"/>
      <c r="F119" s="21"/>
      <c r="G119" s="21">
        <f>ROUND(D119*E119*F119,2)</f>
        <v>0</v>
      </c>
      <c r="H119" s="21"/>
      <c r="I119" s="21"/>
    </row>
    <row r="120" spans="1:9">
      <c r="A120" s="20"/>
      <c r="B120" s="56" t="s">
        <v>446</v>
      </c>
      <c r="C120" s="57" t="s">
        <v>447</v>
      </c>
      <c r="D120" s="21">
        <v>436421.06</v>
      </c>
      <c r="E120" s="21">
        <v>1</v>
      </c>
      <c r="F120" s="21">
        <v>1</v>
      </c>
      <c r="G120" s="21">
        <f t="shared" ref="G120:G143" si="14">ROUND(D120*E120*F120,2)</f>
        <v>436421.06</v>
      </c>
      <c r="H120" s="21">
        <f>ROUND(G120*103.76%,2)+78.88</f>
        <v>452909.37</v>
      </c>
      <c r="I120" s="21">
        <f>ROUND(H120*103.76%,2)+25.68</f>
        <v>469964.44</v>
      </c>
    </row>
    <row r="121" ht="30" customHeight="1" spans="1:9">
      <c r="A121" s="20">
        <v>2</v>
      </c>
      <c r="B121" s="54" t="s">
        <v>448</v>
      </c>
      <c r="C121" s="55"/>
      <c r="D121" s="21"/>
      <c r="E121" s="21"/>
      <c r="F121" s="21"/>
      <c r="G121" s="21">
        <f t="shared" si="14"/>
        <v>0</v>
      </c>
      <c r="H121" s="21"/>
      <c r="I121" s="21"/>
    </row>
    <row r="122" spans="1:9">
      <c r="A122" s="20"/>
      <c r="B122" s="56" t="s">
        <v>449</v>
      </c>
      <c r="C122" s="57" t="s">
        <v>450</v>
      </c>
      <c r="D122" s="21">
        <f>514.6-возм.коммунал!D123</f>
        <v>495.329</v>
      </c>
      <c r="E122" s="21">
        <v>1760.99</v>
      </c>
      <c r="F122" s="21">
        <v>1</v>
      </c>
      <c r="G122" s="21">
        <f t="shared" si="14"/>
        <v>872269.42</v>
      </c>
      <c r="H122" s="21">
        <f t="shared" ref="H122:I125" si="15">ROUND(G122*103.76%,2)</f>
        <v>905066.75</v>
      </c>
      <c r="I122" s="21">
        <f t="shared" si="15"/>
        <v>939097.26</v>
      </c>
    </row>
    <row r="123" spans="1:9">
      <c r="A123" s="20"/>
      <c r="B123" s="56"/>
      <c r="C123" s="57"/>
      <c r="D123" s="21">
        <f>190.9-возм.коммунал!D124</f>
        <v>183.775</v>
      </c>
      <c r="E123" s="21">
        <v>1821.88</v>
      </c>
      <c r="F123" s="21">
        <v>1</v>
      </c>
      <c r="G123" s="21">
        <f t="shared" si="14"/>
        <v>334816</v>
      </c>
      <c r="H123" s="21">
        <f t="shared" si="15"/>
        <v>347405.08</v>
      </c>
      <c r="I123" s="21">
        <f t="shared" si="15"/>
        <v>360467.51</v>
      </c>
    </row>
    <row r="124" ht="33" customHeight="1" spans="1:9">
      <c r="A124" s="20"/>
      <c r="B124" s="54" t="s">
        <v>451</v>
      </c>
      <c r="C124" s="55"/>
      <c r="D124" s="21">
        <v>37.695</v>
      </c>
      <c r="E124" s="21">
        <f>1176.3*120%</f>
        <v>1411.56</v>
      </c>
      <c r="F124" s="21">
        <v>1</v>
      </c>
      <c r="G124" s="21">
        <f t="shared" ref="G124:G126" si="16">ROUND(D124*E124*F124,2)</f>
        <v>53208.75</v>
      </c>
      <c r="H124" s="21">
        <f t="shared" si="15"/>
        <v>55209.4</v>
      </c>
      <c r="I124" s="21">
        <f t="shared" si="15"/>
        <v>57285.27</v>
      </c>
    </row>
    <row r="125" spans="1:9">
      <c r="A125" s="20"/>
      <c r="B125" s="56"/>
      <c r="C125" s="57"/>
      <c r="D125" s="21">
        <v>10.722</v>
      </c>
      <c r="E125" s="21">
        <f>1218.55*120%</f>
        <v>1462.26</v>
      </c>
      <c r="F125" s="21">
        <v>1</v>
      </c>
      <c r="G125" s="21">
        <f t="shared" si="16"/>
        <v>15678.35</v>
      </c>
      <c r="H125" s="21">
        <f t="shared" si="15"/>
        <v>16267.86</v>
      </c>
      <c r="I125" s="21">
        <f t="shared" si="15"/>
        <v>16879.53</v>
      </c>
    </row>
    <row r="126" ht="28.5" customHeight="1" spans="1:9">
      <c r="A126" s="20">
        <v>3</v>
      </c>
      <c r="B126" s="54" t="s">
        <v>448</v>
      </c>
      <c r="C126" s="55"/>
      <c r="D126" s="21"/>
      <c r="E126" s="21"/>
      <c r="F126" s="21">
        <v>1</v>
      </c>
      <c r="G126" s="21">
        <f t="shared" si="16"/>
        <v>0</v>
      </c>
      <c r="H126" s="21"/>
      <c r="I126" s="21"/>
    </row>
    <row r="127" spans="1:9">
      <c r="A127" s="20"/>
      <c r="B127" s="56" t="s">
        <v>452</v>
      </c>
      <c r="C127" s="57" t="s">
        <v>453</v>
      </c>
      <c r="D127" s="21">
        <f>11.075-возм.коммунал!D126</f>
        <v>5.525</v>
      </c>
      <c r="E127" s="21">
        <v>1760.99</v>
      </c>
      <c r="F127" s="21">
        <v>1</v>
      </c>
      <c r="G127" s="21">
        <f t="shared" si="14"/>
        <v>9729.47</v>
      </c>
      <c r="H127" s="21">
        <f t="shared" ref="H127:I130" si="17">ROUND(G127*103.76%,2)</f>
        <v>10095.3</v>
      </c>
      <c r="I127" s="21">
        <f t="shared" si="17"/>
        <v>10474.88</v>
      </c>
    </row>
    <row r="128" spans="1:9">
      <c r="A128" s="20"/>
      <c r="B128" s="56"/>
      <c r="C128" s="57"/>
      <c r="D128" s="21">
        <f>9.1-возм.коммунал!D127</f>
        <v>6.37</v>
      </c>
      <c r="E128" s="21">
        <v>1821.88</v>
      </c>
      <c r="F128" s="21">
        <v>1</v>
      </c>
      <c r="G128" s="21">
        <f t="shared" si="14"/>
        <v>11605.38</v>
      </c>
      <c r="H128" s="21">
        <f t="shared" si="17"/>
        <v>12041.74</v>
      </c>
      <c r="I128" s="21">
        <f t="shared" si="17"/>
        <v>12494.51</v>
      </c>
    </row>
    <row r="129" spans="1:9">
      <c r="A129" s="20"/>
      <c r="B129" s="56"/>
      <c r="C129" s="57" t="s">
        <v>454</v>
      </c>
      <c r="D129" s="21">
        <f>400.4-возм.коммунал!D128</f>
        <v>280.28</v>
      </c>
      <c r="E129" s="21">
        <v>36</v>
      </c>
      <c r="F129" s="21">
        <v>1</v>
      </c>
      <c r="G129" s="21">
        <f t="shared" si="14"/>
        <v>10090.08</v>
      </c>
      <c r="H129" s="21">
        <f t="shared" si="17"/>
        <v>10469.47</v>
      </c>
      <c r="I129" s="21">
        <f t="shared" si="17"/>
        <v>10863.12</v>
      </c>
    </row>
    <row r="130" spans="1:9">
      <c r="A130" s="20"/>
      <c r="B130" s="56"/>
      <c r="C130" s="57"/>
      <c r="D130" s="21">
        <f>208.6-возм.коммунал!D129</f>
        <v>146.02</v>
      </c>
      <c r="E130" s="21">
        <v>37.44</v>
      </c>
      <c r="F130" s="21">
        <v>1</v>
      </c>
      <c r="G130" s="21">
        <f t="shared" si="14"/>
        <v>5466.99</v>
      </c>
      <c r="H130" s="21">
        <f t="shared" si="17"/>
        <v>5672.55</v>
      </c>
      <c r="I130" s="21">
        <f t="shared" si="17"/>
        <v>5885.84</v>
      </c>
    </row>
    <row r="131" ht="30" customHeight="1" spans="1:9">
      <c r="A131" s="20">
        <v>4</v>
      </c>
      <c r="B131" s="52" t="s">
        <v>455</v>
      </c>
      <c r="C131" s="53"/>
      <c r="D131" s="21"/>
      <c r="E131" s="21"/>
      <c r="F131" s="21"/>
      <c r="G131" s="21">
        <f t="shared" si="14"/>
        <v>0</v>
      </c>
      <c r="H131" s="21"/>
      <c r="I131" s="21"/>
    </row>
    <row r="132" spans="1:9">
      <c r="A132" s="20"/>
      <c r="B132" s="56" t="s">
        <v>452</v>
      </c>
      <c r="C132" s="57" t="s">
        <v>453</v>
      </c>
      <c r="D132" s="21">
        <f>220.866-возм.коммунал!D131</f>
        <v>194.758</v>
      </c>
      <c r="E132" s="21">
        <v>1760.99</v>
      </c>
      <c r="F132" s="21">
        <v>1</v>
      </c>
      <c r="G132" s="21">
        <f t="shared" si="14"/>
        <v>342966.89</v>
      </c>
      <c r="H132" s="21">
        <f>ROUND(G132*103.76%,2)</f>
        <v>355862.45</v>
      </c>
      <c r="I132" s="21">
        <f>ROUND(H132*103.76%,2)</f>
        <v>369242.88</v>
      </c>
    </row>
    <row r="133" spans="1:9">
      <c r="A133" s="20"/>
      <c r="B133" s="56"/>
      <c r="C133" s="57"/>
      <c r="D133" s="21">
        <v>0</v>
      </c>
      <c r="E133" s="21">
        <v>1821.88</v>
      </c>
      <c r="F133" s="21">
        <v>1</v>
      </c>
      <c r="G133" s="21">
        <f t="shared" si="14"/>
        <v>0</v>
      </c>
      <c r="H133" s="21"/>
      <c r="I133" s="21"/>
    </row>
    <row r="134" spans="1:9">
      <c r="A134" s="20"/>
      <c r="B134" s="56"/>
      <c r="C134" s="57" t="s">
        <v>454</v>
      </c>
      <c r="D134" s="21">
        <f>1248.86-возм.коммунал!D133</f>
        <v>1114.86</v>
      </c>
      <c r="E134" s="21">
        <v>25.72</v>
      </c>
      <c r="F134" s="21">
        <v>1</v>
      </c>
      <c r="G134" s="21">
        <f t="shared" si="14"/>
        <v>28674.2</v>
      </c>
      <c r="H134" s="21">
        <f>ROUND(G134*103.76%,2)</f>
        <v>29752.35</v>
      </c>
      <c r="I134" s="21">
        <f>ROUND(H134*103.76%,2)</f>
        <v>30871.04</v>
      </c>
    </row>
    <row r="135" spans="1:9">
      <c r="A135" s="20"/>
      <c r="B135" s="56"/>
      <c r="C135" s="57"/>
      <c r="D135" s="21">
        <v>0</v>
      </c>
      <c r="E135" s="21">
        <v>26.34</v>
      </c>
      <c r="F135" s="21">
        <v>1</v>
      </c>
      <c r="G135" s="21">
        <f t="shared" si="14"/>
        <v>0</v>
      </c>
      <c r="H135" s="21"/>
      <c r="I135" s="21"/>
    </row>
    <row r="136" ht="28.5" customHeight="1" spans="1:9">
      <c r="A136" s="20">
        <v>5</v>
      </c>
      <c r="B136" s="52" t="s">
        <v>456</v>
      </c>
      <c r="C136" s="53"/>
      <c r="D136" s="21"/>
      <c r="E136" s="21"/>
      <c r="F136" s="21"/>
      <c r="G136" s="21">
        <f t="shared" si="14"/>
        <v>0</v>
      </c>
      <c r="H136" s="21"/>
      <c r="I136" s="21"/>
    </row>
    <row r="137" spans="1:9">
      <c r="A137" s="20"/>
      <c r="B137" s="56" t="s">
        <v>457</v>
      </c>
      <c r="C137" s="57" t="s">
        <v>454</v>
      </c>
      <c r="D137" s="21">
        <f>2100-возм.коммунал!D136</f>
        <v>1708.5</v>
      </c>
      <c r="E137" s="21">
        <v>25.72</v>
      </c>
      <c r="F137" s="21">
        <v>1</v>
      </c>
      <c r="G137" s="21">
        <f t="shared" si="14"/>
        <v>43942.62</v>
      </c>
      <c r="H137" s="21">
        <f t="shared" ref="H137:I139" si="18">ROUND(G137*103.76%,2)</f>
        <v>45594.86</v>
      </c>
      <c r="I137" s="21">
        <f t="shared" si="18"/>
        <v>47309.23</v>
      </c>
    </row>
    <row r="138" spans="1:9">
      <c r="A138" s="20"/>
      <c r="B138" s="56"/>
      <c r="C138" s="57"/>
      <c r="D138" s="21">
        <f>1218-возм.коммунал!D137</f>
        <v>911.6</v>
      </c>
      <c r="E138" s="21">
        <v>26.34</v>
      </c>
      <c r="F138" s="21">
        <v>1</v>
      </c>
      <c r="G138" s="21">
        <f t="shared" si="14"/>
        <v>24011.54</v>
      </c>
      <c r="H138" s="21">
        <f t="shared" si="18"/>
        <v>24914.37</v>
      </c>
      <c r="I138" s="21">
        <f t="shared" si="18"/>
        <v>25851.15</v>
      </c>
    </row>
    <row r="139" spans="1:9">
      <c r="A139" s="20"/>
      <c r="B139" s="56" t="s">
        <v>458</v>
      </c>
      <c r="C139" s="57" t="s">
        <v>454</v>
      </c>
      <c r="D139" s="21">
        <f>3457-возм.коммунал!D138</f>
        <v>2896.5</v>
      </c>
      <c r="E139" s="21">
        <v>16.9</v>
      </c>
      <c r="F139" s="21">
        <v>1</v>
      </c>
      <c r="G139" s="21">
        <f t="shared" si="14"/>
        <v>48950.85</v>
      </c>
      <c r="H139" s="21">
        <f t="shared" si="18"/>
        <v>50791.4</v>
      </c>
      <c r="I139" s="21">
        <f t="shared" si="18"/>
        <v>52701.16</v>
      </c>
    </row>
    <row r="140" spans="1:9">
      <c r="A140" s="20"/>
      <c r="B140" s="56"/>
      <c r="C140" s="57"/>
      <c r="D140" s="21">
        <f>2480-возм.коммунал!D139</f>
        <v>2079.7</v>
      </c>
      <c r="E140" s="21">
        <v>17.32</v>
      </c>
      <c r="F140" s="21">
        <v>1</v>
      </c>
      <c r="G140" s="21">
        <f t="shared" si="14"/>
        <v>36020.4</v>
      </c>
      <c r="H140" s="21">
        <f>ROUND(G140*103.76%,2)</f>
        <v>37374.77</v>
      </c>
      <c r="I140" s="21">
        <f t="shared" ref="I140" si="19">ROUND(H140*103.76%,2)</f>
        <v>38780.06</v>
      </c>
    </row>
    <row r="141" ht="59.25" customHeight="1" spans="1:9">
      <c r="A141" s="20">
        <v>6</v>
      </c>
      <c r="B141" s="52" t="s">
        <v>459</v>
      </c>
      <c r="C141" s="53"/>
      <c r="D141" s="21"/>
      <c r="E141" s="21"/>
      <c r="F141" s="21"/>
      <c r="G141" s="21">
        <f t="shared" si="14"/>
        <v>0</v>
      </c>
      <c r="H141" s="21"/>
      <c r="I141" s="21"/>
    </row>
    <row r="142" spans="1:9">
      <c r="A142" s="20"/>
      <c r="B142" s="56" t="s">
        <v>460</v>
      </c>
      <c r="C142" s="57" t="s">
        <v>454</v>
      </c>
      <c r="D142" s="21">
        <v>41.698</v>
      </c>
      <c r="E142" s="21">
        <v>474.34</v>
      </c>
      <c r="F142" s="21">
        <v>1</v>
      </c>
      <c r="G142" s="21">
        <f>ROUND(D142*E142*F142*12,0)</f>
        <v>237348</v>
      </c>
      <c r="H142" s="21">
        <f>ROUND(G142*103.76%,2)</f>
        <v>246272.28</v>
      </c>
      <c r="I142" s="21">
        <f>ROUND(H142*103.76%,2)</f>
        <v>255532.12</v>
      </c>
    </row>
    <row r="143" spans="1:9">
      <c r="A143" s="20"/>
      <c r="B143" s="56"/>
      <c r="C143" s="57"/>
      <c r="D143" s="21"/>
      <c r="E143" s="21"/>
      <c r="F143" s="21"/>
      <c r="G143" s="21">
        <f t="shared" si="14"/>
        <v>0</v>
      </c>
      <c r="H143" s="21"/>
      <c r="I143" s="21"/>
    </row>
    <row r="144" spans="1:9">
      <c r="A144" s="20"/>
      <c r="B144" s="30"/>
      <c r="C144" s="32"/>
      <c r="D144" s="21"/>
      <c r="E144" s="21"/>
      <c r="F144" s="21"/>
      <c r="G144" s="21">
        <f t="shared" ref="G144" si="20">D144*E144*F144</f>
        <v>0</v>
      </c>
      <c r="H144" s="21"/>
      <c r="I144" s="21"/>
    </row>
    <row r="145" s="4" customFormat="1" ht="14.25" spans="1:11">
      <c r="A145" s="23"/>
      <c r="B145" s="45" t="s">
        <v>387</v>
      </c>
      <c r="C145" s="46"/>
      <c r="D145" s="24"/>
      <c r="E145" s="24"/>
      <c r="F145" s="24"/>
      <c r="G145" s="24">
        <f>SUM(G119:G144)</f>
        <v>2511200</v>
      </c>
      <c r="H145" s="24">
        <f t="shared" ref="H145:I145" si="21">SUM(H119:H144)</f>
        <v>2605700</v>
      </c>
      <c r="I145" s="24">
        <f t="shared" si="21"/>
        <v>2703700</v>
      </c>
      <c r="J145" s="44"/>
      <c r="K145" s="44"/>
    </row>
    <row r="147" s="5" customFormat="1" ht="27" hidden="1" customHeight="1" spans="1:11">
      <c r="A147" s="5" t="s">
        <v>461</v>
      </c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ht="27" hidden="1" customHeight="1"/>
    <row r="149" ht="27" hidden="1" customHeight="1" spans="1:8">
      <c r="A149" s="25" t="s">
        <v>389</v>
      </c>
      <c r="B149" s="27" t="s">
        <v>24</v>
      </c>
      <c r="C149" s="29"/>
      <c r="D149" s="18" t="s">
        <v>462</v>
      </c>
      <c r="E149" s="18" t="s">
        <v>463</v>
      </c>
      <c r="F149" s="18" t="s">
        <v>464</v>
      </c>
      <c r="G149" s="18" t="s">
        <v>464</v>
      </c>
      <c r="H149" s="18" t="s">
        <v>464</v>
      </c>
    </row>
    <row r="150" ht="27" hidden="1" customHeight="1" spans="1:8">
      <c r="A150" s="19">
        <v>1</v>
      </c>
      <c r="B150" s="30">
        <v>2</v>
      </c>
      <c r="C150" s="32"/>
      <c r="D150" s="19">
        <v>3</v>
      </c>
      <c r="E150" s="19">
        <v>4</v>
      </c>
      <c r="F150" s="19">
        <v>5</v>
      </c>
      <c r="G150" s="19">
        <v>6</v>
      </c>
      <c r="H150" s="19">
        <v>7</v>
      </c>
    </row>
    <row r="151" ht="27" hidden="1" customHeight="1" spans="1:8">
      <c r="A151" s="20"/>
      <c r="B151" s="30"/>
      <c r="C151" s="32"/>
      <c r="D151" s="21"/>
      <c r="E151" s="21"/>
      <c r="F151" s="21"/>
      <c r="G151" s="21"/>
      <c r="H151" s="21"/>
    </row>
    <row r="152" hidden="1" spans="1:8">
      <c r="A152" s="20"/>
      <c r="B152" s="30"/>
      <c r="C152" s="32"/>
      <c r="D152" s="21"/>
      <c r="E152" s="21"/>
      <c r="F152" s="21"/>
      <c r="G152" s="21"/>
      <c r="H152" s="21"/>
    </row>
    <row r="153" hidden="1" spans="1:8">
      <c r="A153" s="20"/>
      <c r="B153" s="30"/>
      <c r="C153" s="32"/>
      <c r="D153" s="21"/>
      <c r="E153" s="21"/>
      <c r="F153" s="21"/>
      <c r="G153" s="21"/>
      <c r="H153" s="21"/>
    </row>
    <row r="154" hidden="1" spans="1:8">
      <c r="A154" s="20"/>
      <c r="B154" s="30"/>
      <c r="C154" s="32"/>
      <c r="D154" s="21"/>
      <c r="E154" s="21"/>
      <c r="F154" s="21"/>
      <c r="G154" s="21"/>
      <c r="H154" s="21"/>
    </row>
    <row r="155" hidden="1" spans="1:8">
      <c r="A155" s="20"/>
      <c r="B155" s="30"/>
      <c r="C155" s="32"/>
      <c r="D155" s="21"/>
      <c r="E155" s="21"/>
      <c r="F155" s="21"/>
      <c r="G155" s="21"/>
      <c r="H155" s="21"/>
    </row>
    <row r="156" hidden="1" spans="1:8">
      <c r="A156" s="20"/>
      <c r="B156" s="30"/>
      <c r="C156" s="32"/>
      <c r="D156" s="21"/>
      <c r="E156" s="21"/>
      <c r="F156" s="21"/>
      <c r="G156" s="21"/>
      <c r="H156" s="21"/>
    </row>
    <row r="157" s="4" customFormat="1" ht="14.25" hidden="1" spans="1:11">
      <c r="A157" s="23"/>
      <c r="B157" s="45" t="s">
        <v>387</v>
      </c>
      <c r="C157" s="46"/>
      <c r="D157" s="24"/>
      <c r="E157" s="24"/>
      <c r="F157" s="24">
        <f>SUM(F151:F156)</f>
        <v>0</v>
      </c>
      <c r="G157" s="24">
        <f t="shared" ref="G157:H157" si="22">SUM(G151:G156)</f>
        <v>0</v>
      </c>
      <c r="H157" s="24">
        <f t="shared" si="22"/>
        <v>0</v>
      </c>
      <c r="I157" s="44"/>
      <c r="J157" s="44"/>
      <c r="K157" s="44"/>
    </row>
    <row r="159" s="5" customFormat="1" ht="14.25" spans="1:11">
      <c r="A159" s="5" t="s">
        <v>465</v>
      </c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1" ht="24" spans="1:8">
      <c r="A161" s="25" t="s">
        <v>389</v>
      </c>
      <c r="B161" s="27" t="s">
        <v>24</v>
      </c>
      <c r="C161" s="29"/>
      <c r="D161" s="18" t="s">
        <v>466</v>
      </c>
      <c r="E161" s="18" t="s">
        <v>467</v>
      </c>
      <c r="F161" s="18" t="s">
        <v>410</v>
      </c>
      <c r="G161" s="18" t="s">
        <v>411</v>
      </c>
      <c r="H161" s="18" t="s">
        <v>412</v>
      </c>
    </row>
    <row r="162" spans="1:8">
      <c r="A162" s="19">
        <v>1</v>
      </c>
      <c r="B162" s="30">
        <v>2</v>
      </c>
      <c r="C162" s="32"/>
      <c r="D162" s="19">
        <v>3</v>
      </c>
      <c r="E162" s="19">
        <v>4</v>
      </c>
      <c r="F162" s="19">
        <v>5</v>
      </c>
      <c r="G162" s="19">
        <v>6</v>
      </c>
      <c r="H162" s="19">
        <v>7</v>
      </c>
    </row>
    <row r="163" ht="31.5" customHeight="1" spans="1:8">
      <c r="A163" s="20">
        <v>1</v>
      </c>
      <c r="B163" s="52" t="s">
        <v>468</v>
      </c>
      <c r="C163" s="53"/>
      <c r="D163" s="21">
        <v>1</v>
      </c>
      <c r="E163" s="21">
        <v>12544.8</v>
      </c>
      <c r="F163" s="21">
        <f>E163*D163</f>
        <v>12544.8</v>
      </c>
      <c r="G163" s="21">
        <f>F163</f>
        <v>12544.8</v>
      </c>
      <c r="H163" s="21">
        <f>G163</f>
        <v>12544.8</v>
      </c>
    </row>
    <row r="164" spans="1:8">
      <c r="A164" s="20"/>
      <c r="B164" s="30" t="s">
        <v>469</v>
      </c>
      <c r="C164" s="32"/>
      <c r="D164" s="21"/>
      <c r="E164" s="21"/>
      <c r="F164" s="21">
        <f t="shared" ref="F164:F213" si="23">E164*D164</f>
        <v>0</v>
      </c>
      <c r="G164" s="21"/>
      <c r="H164" s="21"/>
    </row>
    <row r="165" spans="1:8">
      <c r="A165" s="20"/>
      <c r="B165" s="30"/>
      <c r="C165" s="32"/>
      <c r="D165" s="21"/>
      <c r="E165" s="21"/>
      <c r="F165" s="21">
        <f t="shared" si="23"/>
        <v>0</v>
      </c>
      <c r="G165" s="21"/>
      <c r="H165" s="21"/>
    </row>
    <row r="166" ht="60.75" customHeight="1" spans="1:8">
      <c r="A166" s="20">
        <v>2</v>
      </c>
      <c r="B166" s="52" t="s">
        <v>470</v>
      </c>
      <c r="C166" s="53"/>
      <c r="D166" s="21">
        <v>1</v>
      </c>
      <c r="E166" s="21">
        <v>9403.2</v>
      </c>
      <c r="F166" s="21">
        <f t="shared" si="23"/>
        <v>9403.2</v>
      </c>
      <c r="G166" s="21">
        <f>F166</f>
        <v>9403.2</v>
      </c>
      <c r="H166" s="21">
        <f>G166</f>
        <v>9403.2</v>
      </c>
    </row>
    <row r="167" spans="1:8">
      <c r="A167" s="20"/>
      <c r="B167" s="30" t="s">
        <v>471</v>
      </c>
      <c r="C167" s="32"/>
      <c r="D167" s="21"/>
      <c r="E167" s="21"/>
      <c r="F167" s="21">
        <f t="shared" si="23"/>
        <v>0</v>
      </c>
      <c r="G167" s="21"/>
      <c r="H167" s="21"/>
    </row>
    <row r="168" spans="1:8">
      <c r="A168" s="20"/>
      <c r="B168" s="30"/>
      <c r="C168" s="32"/>
      <c r="D168" s="21"/>
      <c r="E168" s="21"/>
      <c r="F168" s="21">
        <f t="shared" si="23"/>
        <v>0</v>
      </c>
      <c r="G168" s="21"/>
      <c r="H168" s="21"/>
    </row>
    <row r="169" ht="47.25" customHeight="1" spans="1:8">
      <c r="A169" s="20">
        <v>3</v>
      </c>
      <c r="B169" s="52" t="s">
        <v>472</v>
      </c>
      <c r="C169" s="53"/>
      <c r="D169" s="21">
        <v>2</v>
      </c>
      <c r="E169" s="21">
        <v>21288</v>
      </c>
      <c r="F169" s="21">
        <f t="shared" si="23"/>
        <v>42576</v>
      </c>
      <c r="G169" s="21">
        <f>F169</f>
        <v>42576</v>
      </c>
      <c r="H169" s="21">
        <f>G169</f>
        <v>42576</v>
      </c>
    </row>
    <row r="170" spans="1:8">
      <c r="A170" s="20"/>
      <c r="B170" s="47" t="s">
        <v>473</v>
      </c>
      <c r="C170" s="48"/>
      <c r="D170" s="21"/>
      <c r="E170" s="21"/>
      <c r="F170" s="21">
        <f t="shared" si="23"/>
        <v>0</v>
      </c>
      <c r="G170" s="21"/>
      <c r="H170" s="21"/>
    </row>
    <row r="171" spans="1:8">
      <c r="A171" s="20"/>
      <c r="B171" s="47" t="s">
        <v>474</v>
      </c>
      <c r="C171" s="48"/>
      <c r="D171" s="21"/>
      <c r="E171" s="21"/>
      <c r="F171" s="21">
        <f t="shared" si="23"/>
        <v>0</v>
      </c>
      <c r="G171" s="21"/>
      <c r="H171" s="21"/>
    </row>
    <row r="172" spans="1:8">
      <c r="A172" s="20"/>
      <c r="B172" s="30"/>
      <c r="C172" s="32"/>
      <c r="D172" s="21"/>
      <c r="E172" s="21"/>
      <c r="F172" s="21">
        <f t="shared" si="23"/>
        <v>0</v>
      </c>
      <c r="G172" s="21"/>
      <c r="H172" s="21"/>
    </row>
    <row r="173" ht="42.75" customHeight="1" spans="1:8">
      <c r="A173" s="20">
        <v>4</v>
      </c>
      <c r="B173" s="52" t="s">
        <v>475</v>
      </c>
      <c r="C173" s="53"/>
      <c r="D173" s="21">
        <v>1</v>
      </c>
      <c r="E173" s="21">
        <v>19200</v>
      </c>
      <c r="F173" s="21">
        <f t="shared" si="23"/>
        <v>19200</v>
      </c>
      <c r="G173" s="21">
        <f>F173</f>
        <v>19200</v>
      </c>
      <c r="H173" s="21">
        <f>G173</f>
        <v>19200</v>
      </c>
    </row>
    <row r="174" spans="1:8">
      <c r="A174" s="20"/>
      <c r="B174" s="47" t="s">
        <v>476</v>
      </c>
      <c r="C174" s="48"/>
      <c r="D174" s="21"/>
      <c r="E174" s="21"/>
      <c r="F174" s="21">
        <f t="shared" si="23"/>
        <v>0</v>
      </c>
      <c r="G174" s="21"/>
      <c r="H174" s="21"/>
    </row>
    <row r="175" spans="1:8">
      <c r="A175" s="20"/>
      <c r="B175" s="30"/>
      <c r="C175" s="32"/>
      <c r="D175" s="21"/>
      <c r="E175" s="21"/>
      <c r="F175" s="21">
        <f t="shared" si="23"/>
        <v>0</v>
      </c>
      <c r="G175" s="21"/>
      <c r="H175" s="21"/>
    </row>
    <row r="176" ht="58.5" customHeight="1" spans="1:8">
      <c r="A176" s="20">
        <v>5</v>
      </c>
      <c r="B176" s="52" t="s">
        <v>477</v>
      </c>
      <c r="C176" s="53"/>
      <c r="D176" s="21">
        <v>1</v>
      </c>
      <c r="E176" s="21">
        <f>105543.12-9948</f>
        <v>95595.12</v>
      </c>
      <c r="F176" s="21">
        <f t="shared" si="23"/>
        <v>95595.12</v>
      </c>
      <c r="G176" s="21">
        <f>F176-2499</f>
        <v>93096.12</v>
      </c>
      <c r="H176" s="21">
        <f>G176</f>
        <v>93096.12</v>
      </c>
    </row>
    <row r="177" spans="1:8">
      <c r="A177" s="20"/>
      <c r="B177" s="47" t="s">
        <v>478</v>
      </c>
      <c r="C177" s="48"/>
      <c r="D177" s="21"/>
      <c r="E177" s="21"/>
      <c r="F177" s="21">
        <f t="shared" si="23"/>
        <v>0</v>
      </c>
      <c r="G177" s="21"/>
      <c r="H177" s="21"/>
    </row>
    <row r="178" spans="1:8">
      <c r="A178" s="20"/>
      <c r="B178" s="30"/>
      <c r="C178" s="32"/>
      <c r="D178" s="21"/>
      <c r="E178" s="21"/>
      <c r="F178" s="21">
        <f t="shared" si="23"/>
        <v>0</v>
      </c>
      <c r="G178" s="21"/>
      <c r="H178" s="21"/>
    </row>
    <row r="179" ht="72.75" customHeight="1" spans="1:8">
      <c r="A179" s="20">
        <v>6</v>
      </c>
      <c r="B179" s="52" t="s">
        <v>479</v>
      </c>
      <c r="C179" s="53"/>
      <c r="D179" s="21">
        <v>2</v>
      </c>
      <c r="E179" s="21">
        <v>19200</v>
      </c>
      <c r="F179" s="21">
        <f t="shared" si="23"/>
        <v>38400</v>
      </c>
      <c r="G179" s="21">
        <f>F179</f>
        <v>38400</v>
      </c>
      <c r="H179" s="21">
        <f>G179</f>
        <v>38400</v>
      </c>
    </row>
    <row r="180" spans="1:8">
      <c r="A180" s="20"/>
      <c r="B180" s="47" t="s">
        <v>480</v>
      </c>
      <c r="C180" s="48"/>
      <c r="D180" s="21"/>
      <c r="E180" s="21"/>
      <c r="F180" s="21">
        <f t="shared" si="23"/>
        <v>0</v>
      </c>
      <c r="G180" s="21"/>
      <c r="H180" s="21"/>
    </row>
    <row r="181" spans="1:8">
      <c r="A181" s="20"/>
      <c r="B181" s="47" t="s">
        <v>474</v>
      </c>
      <c r="C181" s="48"/>
      <c r="D181" s="21"/>
      <c r="E181" s="21"/>
      <c r="F181" s="21">
        <f t="shared" si="23"/>
        <v>0</v>
      </c>
      <c r="G181" s="21"/>
      <c r="H181" s="21"/>
    </row>
    <row r="182" spans="1:8">
      <c r="A182" s="20"/>
      <c r="B182" s="30"/>
      <c r="C182" s="32"/>
      <c r="D182" s="21"/>
      <c r="E182" s="21"/>
      <c r="F182" s="21">
        <f t="shared" si="23"/>
        <v>0</v>
      </c>
      <c r="G182" s="21"/>
      <c r="H182" s="21"/>
    </row>
    <row r="183" ht="42" customHeight="1" spans="1:8">
      <c r="A183" s="20">
        <v>7</v>
      </c>
      <c r="B183" s="52" t="s">
        <v>481</v>
      </c>
      <c r="C183" s="53"/>
      <c r="D183" s="21">
        <v>1</v>
      </c>
      <c r="E183" s="21">
        <v>38526.24</v>
      </c>
      <c r="F183" s="21">
        <f t="shared" si="23"/>
        <v>38526.24</v>
      </c>
      <c r="G183" s="21">
        <f>F183</f>
        <v>38526.24</v>
      </c>
      <c r="H183" s="21">
        <f>G183</f>
        <v>38526.24</v>
      </c>
    </row>
    <row r="184" ht="29.25" customHeight="1" spans="1:8">
      <c r="A184" s="20"/>
      <c r="B184" s="78" t="s">
        <v>482</v>
      </c>
      <c r="C184" s="79"/>
      <c r="D184" s="21"/>
      <c r="E184" s="21"/>
      <c r="F184" s="21">
        <f t="shared" si="23"/>
        <v>0</v>
      </c>
      <c r="G184" s="21"/>
      <c r="H184" s="21"/>
    </row>
    <row r="185" spans="1:8">
      <c r="A185" s="20"/>
      <c r="B185" s="30"/>
      <c r="C185" s="32"/>
      <c r="D185" s="21"/>
      <c r="E185" s="21"/>
      <c r="F185" s="21">
        <f t="shared" si="23"/>
        <v>0</v>
      </c>
      <c r="G185" s="21"/>
      <c r="H185" s="21"/>
    </row>
    <row r="186" s="102" customFormat="1" ht="28.5" customHeight="1" spans="1:11">
      <c r="A186" s="103">
        <v>8</v>
      </c>
      <c r="B186" s="104" t="s">
        <v>483</v>
      </c>
      <c r="C186" s="105"/>
      <c r="D186" s="106">
        <v>1</v>
      </c>
      <c r="E186" s="106">
        <v>6500</v>
      </c>
      <c r="F186" s="106">
        <f t="shared" si="23"/>
        <v>6500</v>
      </c>
      <c r="G186" s="106">
        <v>8800</v>
      </c>
      <c r="H186" s="106">
        <f>G186</f>
        <v>8800</v>
      </c>
      <c r="I186" s="109"/>
      <c r="J186" s="109"/>
      <c r="K186" s="109"/>
    </row>
    <row r="187" s="102" customFormat="1" spans="1:11">
      <c r="A187" s="103"/>
      <c r="B187" s="107" t="s">
        <v>484</v>
      </c>
      <c r="C187" s="108"/>
      <c r="D187" s="106"/>
      <c r="E187" s="106"/>
      <c r="F187" s="106">
        <f t="shared" si="23"/>
        <v>0</v>
      </c>
      <c r="G187" s="106"/>
      <c r="H187" s="106"/>
      <c r="I187" s="109"/>
      <c r="J187" s="109"/>
      <c r="K187" s="109"/>
    </row>
    <row r="188" spans="1:8">
      <c r="A188" s="20"/>
      <c r="B188" s="47"/>
      <c r="C188" s="48"/>
      <c r="D188" s="21"/>
      <c r="E188" s="21"/>
      <c r="F188" s="21">
        <f t="shared" si="23"/>
        <v>0</v>
      </c>
      <c r="G188" s="21"/>
      <c r="H188" s="21"/>
    </row>
    <row r="189" ht="45.75" customHeight="1" spans="1:8">
      <c r="A189" s="20">
        <v>9</v>
      </c>
      <c r="B189" s="52" t="s">
        <v>485</v>
      </c>
      <c r="C189" s="53"/>
      <c r="D189" s="21">
        <v>1</v>
      </c>
      <c r="E189" s="21">
        <v>22100</v>
      </c>
      <c r="F189" s="21">
        <f t="shared" si="23"/>
        <v>22100</v>
      </c>
      <c r="G189" s="21">
        <v>26000</v>
      </c>
      <c r="H189" s="21">
        <f>G189</f>
        <v>26000</v>
      </c>
    </row>
    <row r="190" spans="1:8">
      <c r="A190" s="20"/>
      <c r="B190" s="47" t="s">
        <v>486</v>
      </c>
      <c r="C190" s="48"/>
      <c r="D190" s="21"/>
      <c r="E190" s="21"/>
      <c r="F190" s="21">
        <f t="shared" si="23"/>
        <v>0</v>
      </c>
      <c r="G190" s="21"/>
      <c r="H190" s="21"/>
    </row>
    <row r="191" spans="1:8">
      <c r="A191" s="20"/>
      <c r="B191" s="47"/>
      <c r="C191" s="48"/>
      <c r="D191" s="21"/>
      <c r="E191" s="21"/>
      <c r="F191" s="21">
        <f t="shared" si="23"/>
        <v>0</v>
      </c>
      <c r="G191" s="21"/>
      <c r="H191" s="21"/>
    </row>
    <row r="192" ht="78.75" customHeight="1" spans="1:8">
      <c r="A192" s="20">
        <v>10</v>
      </c>
      <c r="B192" s="52" t="s">
        <v>487</v>
      </c>
      <c r="C192" s="53"/>
      <c r="D192" s="21">
        <v>1</v>
      </c>
      <c r="E192" s="21">
        <f>35266.34+9479.67</f>
        <v>44746.01</v>
      </c>
      <c r="F192" s="21">
        <f t="shared" si="23"/>
        <v>44746.01</v>
      </c>
      <c r="G192" s="21">
        <v>13897.44</v>
      </c>
      <c r="H192" s="21">
        <f>G192</f>
        <v>13897.44</v>
      </c>
    </row>
    <row r="193" spans="1:8">
      <c r="A193" s="20"/>
      <c r="B193" s="47" t="s">
        <v>488</v>
      </c>
      <c r="C193" s="48"/>
      <c r="D193" s="21"/>
      <c r="E193" s="21"/>
      <c r="F193" s="21">
        <f t="shared" si="23"/>
        <v>0</v>
      </c>
      <c r="G193" s="21"/>
      <c r="H193" s="21"/>
    </row>
    <row r="194" spans="1:8">
      <c r="A194" s="20"/>
      <c r="B194" s="47" t="s">
        <v>489</v>
      </c>
      <c r="C194" s="48"/>
      <c r="D194" s="21"/>
      <c r="E194" s="21"/>
      <c r="F194" s="21"/>
      <c r="G194" s="21"/>
      <c r="H194" s="21"/>
    </row>
    <row r="195" spans="1:8">
      <c r="A195" s="20"/>
      <c r="B195" s="47"/>
      <c r="C195" s="48"/>
      <c r="D195" s="21"/>
      <c r="E195" s="21"/>
      <c r="F195" s="21">
        <f t="shared" si="23"/>
        <v>0</v>
      </c>
      <c r="G195" s="21"/>
      <c r="H195" s="21"/>
    </row>
    <row r="196" ht="45.75" customHeight="1" spans="1:8">
      <c r="A196" s="20">
        <v>11</v>
      </c>
      <c r="B196" s="52" t="s">
        <v>490</v>
      </c>
      <c r="C196" s="53"/>
      <c r="D196" s="21">
        <v>1</v>
      </c>
      <c r="E196" s="21">
        <v>6460</v>
      </c>
      <c r="F196" s="21">
        <f t="shared" si="23"/>
        <v>6460</v>
      </c>
      <c r="G196" s="21">
        <v>8360</v>
      </c>
      <c r="H196" s="21">
        <f>G196</f>
        <v>8360</v>
      </c>
    </row>
    <row r="197" spans="1:8">
      <c r="A197" s="20"/>
      <c r="B197" s="47" t="s">
        <v>491</v>
      </c>
      <c r="C197" s="48"/>
      <c r="D197" s="21"/>
      <c r="E197" s="21"/>
      <c r="F197" s="21">
        <f t="shared" si="23"/>
        <v>0</v>
      </c>
      <c r="G197" s="21"/>
      <c r="H197" s="21"/>
    </row>
    <row r="198" spans="1:8">
      <c r="A198" s="20"/>
      <c r="B198" s="47"/>
      <c r="C198" s="48"/>
      <c r="D198" s="21"/>
      <c r="E198" s="21"/>
      <c r="F198" s="21">
        <f t="shared" si="23"/>
        <v>0</v>
      </c>
      <c r="G198" s="21"/>
      <c r="H198" s="21"/>
    </row>
    <row r="199" ht="39.75" customHeight="1" spans="1:8">
      <c r="A199" s="20">
        <v>12</v>
      </c>
      <c r="B199" s="52" t="s">
        <v>492</v>
      </c>
      <c r="C199" s="53"/>
      <c r="D199" s="21">
        <v>1</v>
      </c>
      <c r="E199" s="21">
        <v>3200</v>
      </c>
      <c r="F199" s="21">
        <f t="shared" si="23"/>
        <v>3200</v>
      </c>
      <c r="G199" s="21">
        <v>4800</v>
      </c>
      <c r="H199" s="21">
        <f>G199</f>
        <v>4800</v>
      </c>
    </row>
    <row r="200" spans="1:8">
      <c r="A200" s="20"/>
      <c r="B200" s="47" t="s">
        <v>493</v>
      </c>
      <c r="C200" s="48"/>
      <c r="D200" s="21"/>
      <c r="E200" s="21"/>
      <c r="F200" s="21"/>
      <c r="G200" s="21"/>
      <c r="H200" s="21"/>
    </row>
    <row r="201" spans="1:8">
      <c r="A201" s="20"/>
      <c r="B201" s="47"/>
      <c r="C201" s="48"/>
      <c r="D201" s="21"/>
      <c r="E201" s="21"/>
      <c r="F201" s="21">
        <f t="shared" si="23"/>
        <v>0</v>
      </c>
      <c r="G201" s="21"/>
      <c r="H201" s="21"/>
    </row>
    <row r="202" ht="58.5" customHeight="1" spans="1:8">
      <c r="A202" s="20">
        <v>13</v>
      </c>
      <c r="B202" s="52" t="s">
        <v>494</v>
      </c>
      <c r="C202" s="53"/>
      <c r="D202" s="21">
        <v>1</v>
      </c>
      <c r="E202" s="21">
        <v>7200</v>
      </c>
      <c r="F202" s="21">
        <f t="shared" si="23"/>
        <v>7200</v>
      </c>
      <c r="G202" s="21">
        <v>18800</v>
      </c>
      <c r="H202" s="21">
        <f>G202</f>
        <v>18800</v>
      </c>
    </row>
    <row r="203" spans="1:8">
      <c r="A203" s="20"/>
      <c r="B203" s="47" t="s">
        <v>495</v>
      </c>
      <c r="C203" s="48"/>
      <c r="D203" s="21"/>
      <c r="E203" s="21"/>
      <c r="F203" s="21">
        <f t="shared" si="23"/>
        <v>0</v>
      </c>
      <c r="G203" s="21"/>
      <c r="H203" s="21"/>
    </row>
    <row r="204" spans="1:8">
      <c r="A204" s="20"/>
      <c r="B204" s="47"/>
      <c r="C204" s="48"/>
      <c r="D204" s="21"/>
      <c r="E204" s="21"/>
      <c r="F204" s="21">
        <f t="shared" si="23"/>
        <v>0</v>
      </c>
      <c r="G204" s="21"/>
      <c r="H204" s="21"/>
    </row>
    <row r="205" ht="46.5" customHeight="1" spans="1:8">
      <c r="A205" s="20">
        <v>14</v>
      </c>
      <c r="B205" s="52" t="s">
        <v>496</v>
      </c>
      <c r="C205" s="53"/>
      <c r="D205" s="21">
        <v>1</v>
      </c>
      <c r="E205" s="21">
        <v>14700</v>
      </c>
      <c r="F205" s="21">
        <f t="shared" si="23"/>
        <v>14700</v>
      </c>
      <c r="G205" s="21">
        <v>0</v>
      </c>
      <c r="H205" s="21">
        <v>0</v>
      </c>
    </row>
    <row r="206" spans="1:8">
      <c r="A206" s="20"/>
      <c r="B206" s="47" t="s">
        <v>497</v>
      </c>
      <c r="C206" s="48"/>
      <c r="D206" s="21"/>
      <c r="E206" s="21"/>
      <c r="F206" s="21">
        <f t="shared" si="23"/>
        <v>0</v>
      </c>
      <c r="G206" s="21"/>
      <c r="H206" s="21"/>
    </row>
    <row r="207" spans="1:8">
      <c r="A207" s="20"/>
      <c r="B207" s="47"/>
      <c r="C207" s="48"/>
      <c r="D207" s="21"/>
      <c r="E207" s="21"/>
      <c r="F207" s="21">
        <f t="shared" si="23"/>
        <v>0</v>
      </c>
      <c r="G207" s="21"/>
      <c r="H207" s="21"/>
    </row>
    <row r="208" ht="58.5" customHeight="1" spans="1:8">
      <c r="A208" s="20">
        <v>15</v>
      </c>
      <c r="B208" s="52" t="s">
        <v>498</v>
      </c>
      <c r="C208" s="53"/>
      <c r="D208" s="21">
        <v>1</v>
      </c>
      <c r="E208" s="21">
        <v>25200</v>
      </c>
      <c r="F208" s="21">
        <f t="shared" si="23"/>
        <v>25200</v>
      </c>
      <c r="G208" s="21">
        <v>24000</v>
      </c>
      <c r="H208" s="21">
        <f>G208</f>
        <v>24000</v>
      </c>
    </row>
    <row r="209" spans="1:8">
      <c r="A209" s="20"/>
      <c r="B209" s="47" t="s">
        <v>499</v>
      </c>
      <c r="C209" s="48"/>
      <c r="D209" s="21"/>
      <c r="E209" s="21"/>
      <c r="F209" s="21">
        <f t="shared" si="23"/>
        <v>0</v>
      </c>
      <c r="G209" s="21"/>
      <c r="H209" s="21"/>
    </row>
    <row r="210" spans="1:8">
      <c r="A210" s="20"/>
      <c r="B210" s="47"/>
      <c r="C210" s="48"/>
      <c r="D210" s="21"/>
      <c r="E210" s="21"/>
      <c r="F210" s="21">
        <f t="shared" si="23"/>
        <v>0</v>
      </c>
      <c r="G210" s="21"/>
      <c r="H210" s="21"/>
    </row>
    <row r="211" ht="31.5" customHeight="1" spans="1:8">
      <c r="A211" s="20">
        <v>16</v>
      </c>
      <c r="B211" s="52" t="s">
        <v>500</v>
      </c>
      <c r="C211" s="53"/>
      <c r="D211" s="21">
        <v>1</v>
      </c>
      <c r="E211" s="21">
        <v>44505</v>
      </c>
      <c r="F211" s="21">
        <f t="shared" si="23"/>
        <v>44505</v>
      </c>
      <c r="G211" s="21">
        <f>F211</f>
        <v>44505</v>
      </c>
      <c r="H211" s="21">
        <f>G211</f>
        <v>44505</v>
      </c>
    </row>
    <row r="212" spans="1:8">
      <c r="A212" s="20"/>
      <c r="B212" s="30" t="s">
        <v>501</v>
      </c>
      <c r="C212" s="32"/>
      <c r="D212" s="21"/>
      <c r="E212" s="21"/>
      <c r="F212" s="21">
        <f t="shared" si="23"/>
        <v>0</v>
      </c>
      <c r="G212" s="21"/>
      <c r="H212" s="21"/>
    </row>
    <row r="213" spans="1:8">
      <c r="A213" s="20"/>
      <c r="B213" s="30"/>
      <c r="C213" s="32"/>
      <c r="D213" s="21"/>
      <c r="E213" s="21"/>
      <c r="F213" s="21">
        <f t="shared" si="23"/>
        <v>0</v>
      </c>
      <c r="G213" s="21"/>
      <c r="H213" s="21"/>
    </row>
    <row r="214" s="4" customFormat="1" ht="14.25" spans="1:11">
      <c r="A214" s="23"/>
      <c r="B214" s="45" t="s">
        <v>387</v>
      </c>
      <c r="C214" s="46"/>
      <c r="D214" s="24"/>
      <c r="E214" s="24"/>
      <c r="F214" s="24">
        <f>ROUND(SUM(F163:F213),0)</f>
        <v>430856</v>
      </c>
      <c r="G214" s="24">
        <f t="shared" ref="G214:H214" si="24">ROUND(SUM(G163:G213),0)</f>
        <v>402909</v>
      </c>
      <c r="H214" s="24">
        <f t="shared" si="24"/>
        <v>402909</v>
      </c>
      <c r="I214" s="44"/>
      <c r="J214" s="44"/>
      <c r="K214" s="44"/>
    </row>
    <row r="216" s="5" customFormat="1" ht="14.25" spans="1:11">
      <c r="A216" s="5" t="s">
        <v>502</v>
      </c>
      <c r="B216" s="15"/>
      <c r="C216" s="15"/>
      <c r="D216" s="15"/>
      <c r="E216" s="15"/>
      <c r="F216" s="15"/>
      <c r="G216" s="15"/>
      <c r="H216" s="15"/>
      <c r="I216" s="15"/>
      <c r="J216" s="15"/>
      <c r="K216" s="15"/>
    </row>
    <row r="218" ht="24" spans="1:12">
      <c r="A218" s="25" t="s">
        <v>389</v>
      </c>
      <c r="B218" s="27" t="s">
        <v>416</v>
      </c>
      <c r="C218" s="29"/>
      <c r="D218" s="18" t="s">
        <v>466</v>
      </c>
      <c r="E218" s="18" t="s">
        <v>467</v>
      </c>
      <c r="F218" s="18" t="s">
        <v>410</v>
      </c>
      <c r="G218" s="18" t="s">
        <v>411</v>
      </c>
      <c r="H218" s="18" t="s">
        <v>412</v>
      </c>
      <c r="L218" s="7">
        <v>2437644</v>
      </c>
    </row>
    <row r="219" spans="1:8">
      <c r="A219" s="19">
        <v>1</v>
      </c>
      <c r="B219" s="30">
        <v>2</v>
      </c>
      <c r="C219" s="32"/>
      <c r="D219" s="19">
        <v>3</v>
      </c>
      <c r="E219" s="19">
        <v>4</v>
      </c>
      <c r="F219" s="19">
        <v>5</v>
      </c>
      <c r="G219" s="19">
        <v>6</v>
      </c>
      <c r="H219" s="19">
        <v>7</v>
      </c>
    </row>
    <row r="220" ht="75.75" customHeight="1" spans="1:8">
      <c r="A220" s="20">
        <v>1</v>
      </c>
      <c r="B220" s="52" t="s">
        <v>503</v>
      </c>
      <c r="C220" s="53"/>
      <c r="D220" s="21">
        <v>1</v>
      </c>
      <c r="E220" s="21">
        <v>38368.8</v>
      </c>
      <c r="F220" s="21">
        <f>E220*D220</f>
        <v>38368.8</v>
      </c>
      <c r="G220" s="21">
        <f>F220</f>
        <v>38368.8</v>
      </c>
      <c r="H220" s="21">
        <f>G220</f>
        <v>38368.8</v>
      </c>
    </row>
    <row r="221" spans="1:8">
      <c r="A221" s="20"/>
      <c r="B221" s="56" t="s">
        <v>504</v>
      </c>
      <c r="C221" s="57"/>
      <c r="D221" s="21"/>
      <c r="E221" s="21"/>
      <c r="F221" s="21">
        <f t="shared" ref="F221:F249" si="25">E221*D221</f>
        <v>0</v>
      </c>
      <c r="G221" s="21"/>
      <c r="H221" s="21"/>
    </row>
    <row r="222" spans="1:8">
      <c r="A222" s="20"/>
      <c r="B222" s="56"/>
      <c r="C222" s="57"/>
      <c r="D222" s="21"/>
      <c r="E222" s="21"/>
      <c r="F222" s="21">
        <f t="shared" si="25"/>
        <v>0</v>
      </c>
      <c r="G222" s="21"/>
      <c r="H222" s="21"/>
    </row>
    <row r="223" ht="31.5" customHeight="1" spans="1:8">
      <c r="A223" s="20">
        <v>2</v>
      </c>
      <c r="B223" s="52" t="s">
        <v>505</v>
      </c>
      <c r="C223" s="53"/>
      <c r="D223" s="21">
        <v>1</v>
      </c>
      <c r="E223" s="21">
        <v>102000</v>
      </c>
      <c r="F223" s="21">
        <f t="shared" si="25"/>
        <v>102000</v>
      </c>
      <c r="G223" s="21">
        <v>129290</v>
      </c>
      <c r="H223" s="21">
        <f>G223</f>
        <v>129290</v>
      </c>
    </row>
    <row r="224" spans="1:8">
      <c r="A224" s="20"/>
      <c r="B224" s="56" t="s">
        <v>506</v>
      </c>
      <c r="C224" s="57"/>
      <c r="D224" s="21"/>
      <c r="E224" s="21"/>
      <c r="F224" s="21">
        <f t="shared" si="25"/>
        <v>0</v>
      </c>
      <c r="G224" s="21"/>
      <c r="H224" s="21"/>
    </row>
    <row r="225" spans="1:8">
      <c r="A225" s="20"/>
      <c r="B225" s="56" t="s">
        <v>507</v>
      </c>
      <c r="C225" s="57"/>
      <c r="D225" s="21"/>
      <c r="E225" s="21"/>
      <c r="F225" s="21">
        <f t="shared" si="25"/>
        <v>0</v>
      </c>
      <c r="G225" s="21"/>
      <c r="H225" s="21"/>
    </row>
    <row r="226" hidden="1" spans="1:8">
      <c r="A226" s="20"/>
      <c r="B226" s="56"/>
      <c r="C226" s="57"/>
      <c r="D226" s="21"/>
      <c r="E226" s="21"/>
      <c r="F226" s="21">
        <f t="shared" si="25"/>
        <v>0</v>
      </c>
      <c r="G226" s="21"/>
      <c r="H226" s="21"/>
    </row>
    <row r="227" hidden="1" spans="1:8">
      <c r="A227" s="20"/>
      <c r="B227" s="56"/>
      <c r="C227" s="57"/>
      <c r="D227" s="21"/>
      <c r="E227" s="21"/>
      <c r="F227" s="21">
        <f t="shared" si="25"/>
        <v>0</v>
      </c>
      <c r="G227" s="21"/>
      <c r="H227" s="21"/>
    </row>
    <row r="228" spans="1:8">
      <c r="A228" s="20"/>
      <c r="B228" s="56"/>
      <c r="C228" s="57"/>
      <c r="D228" s="21"/>
      <c r="E228" s="21"/>
      <c r="F228" s="21">
        <f t="shared" si="25"/>
        <v>0</v>
      </c>
      <c r="G228" s="21"/>
      <c r="H228" s="21"/>
    </row>
    <row r="229" ht="60" customHeight="1" spans="1:8">
      <c r="A229" s="20">
        <v>3</v>
      </c>
      <c r="B229" s="54" t="s">
        <v>508</v>
      </c>
      <c r="C229" s="55"/>
      <c r="D229" s="21">
        <v>1</v>
      </c>
      <c r="E229" s="21">
        <v>5100</v>
      </c>
      <c r="F229" s="21">
        <v>4450</v>
      </c>
      <c r="G229" s="21">
        <f>F229</f>
        <v>4450</v>
      </c>
      <c r="H229" s="21">
        <f>G229</f>
        <v>4450</v>
      </c>
    </row>
    <row r="230" spans="1:8">
      <c r="A230" s="20"/>
      <c r="B230" s="56" t="s">
        <v>509</v>
      </c>
      <c r="C230" s="57"/>
      <c r="D230" s="21"/>
      <c r="E230" s="21"/>
      <c r="F230" s="21">
        <f t="shared" si="25"/>
        <v>0</v>
      </c>
      <c r="G230" s="21"/>
      <c r="H230" s="21"/>
    </row>
    <row r="231" spans="1:8">
      <c r="A231" s="20"/>
      <c r="B231" s="56" t="s">
        <v>510</v>
      </c>
      <c r="C231" s="57"/>
      <c r="D231" s="21"/>
      <c r="E231" s="21"/>
      <c r="F231" s="21"/>
      <c r="G231" s="21"/>
      <c r="H231" s="21"/>
    </row>
    <row r="232" spans="1:8">
      <c r="A232" s="20"/>
      <c r="B232" s="30"/>
      <c r="C232" s="32"/>
      <c r="D232" s="21"/>
      <c r="E232" s="21"/>
      <c r="F232" s="21">
        <f t="shared" si="25"/>
        <v>0</v>
      </c>
      <c r="G232" s="21"/>
      <c r="H232" s="21"/>
    </row>
    <row r="233" spans="1:8">
      <c r="A233" s="20">
        <v>4</v>
      </c>
      <c r="B233" s="30" t="s">
        <v>511</v>
      </c>
      <c r="C233" s="32"/>
      <c r="D233" s="21">
        <v>1</v>
      </c>
      <c r="E233" s="21">
        <v>1200</v>
      </c>
      <c r="F233" s="21">
        <f t="shared" si="25"/>
        <v>1200</v>
      </c>
      <c r="G233" s="21">
        <f>F233</f>
        <v>1200</v>
      </c>
      <c r="H233" s="21">
        <f>G233</f>
        <v>1200</v>
      </c>
    </row>
    <row r="234" spans="1:8">
      <c r="A234" s="20"/>
      <c r="B234" s="47" t="s">
        <v>512</v>
      </c>
      <c r="C234" s="48"/>
      <c r="D234" s="21"/>
      <c r="E234" s="21"/>
      <c r="F234" s="21">
        <f t="shared" si="25"/>
        <v>0</v>
      </c>
      <c r="G234" s="21"/>
      <c r="H234" s="21"/>
    </row>
    <row r="235" spans="1:8">
      <c r="A235" s="20"/>
      <c r="B235" s="30"/>
      <c r="C235" s="32"/>
      <c r="D235" s="21"/>
      <c r="E235" s="21"/>
      <c r="F235" s="21">
        <f t="shared" si="25"/>
        <v>0</v>
      </c>
      <c r="G235" s="21"/>
      <c r="H235" s="21"/>
    </row>
    <row r="236" ht="26.25" customHeight="1" spans="1:8">
      <c r="A236" s="20">
        <v>5</v>
      </c>
      <c r="B236" s="52" t="s">
        <v>513</v>
      </c>
      <c r="C236" s="53"/>
      <c r="D236" s="21">
        <v>1</v>
      </c>
      <c r="E236" s="21">
        <v>75688</v>
      </c>
      <c r="F236" s="21">
        <f t="shared" si="25"/>
        <v>75688</v>
      </c>
      <c r="G236" s="21">
        <f>F236</f>
        <v>75688</v>
      </c>
      <c r="H236" s="21">
        <f>G236</f>
        <v>75688</v>
      </c>
    </row>
    <row r="237" spans="1:8">
      <c r="A237" s="20"/>
      <c r="B237" s="47" t="s">
        <v>514</v>
      </c>
      <c r="C237" s="48"/>
      <c r="D237" s="21"/>
      <c r="E237" s="21"/>
      <c r="F237" s="21">
        <f t="shared" si="25"/>
        <v>0</v>
      </c>
      <c r="G237" s="21"/>
      <c r="H237" s="21"/>
    </row>
    <row r="238" spans="1:8">
      <c r="A238" s="20"/>
      <c r="B238" s="47" t="s">
        <v>515</v>
      </c>
      <c r="C238" s="48"/>
      <c r="D238" s="21"/>
      <c r="E238" s="21"/>
      <c r="F238" s="21"/>
      <c r="G238" s="21"/>
      <c r="H238" s="21"/>
    </row>
    <row r="239" ht="55.5" customHeight="1" spans="1:8">
      <c r="A239" s="20">
        <v>6</v>
      </c>
      <c r="B239" s="52" t="s">
        <v>516</v>
      </c>
      <c r="C239" s="53"/>
      <c r="D239" s="21">
        <v>1</v>
      </c>
      <c r="E239" s="21">
        <f>1313847+9140+600</f>
        <v>1323587</v>
      </c>
      <c r="F239" s="21">
        <f t="shared" si="25"/>
        <v>1323587</v>
      </c>
      <c r="G239" s="21">
        <v>1313846</v>
      </c>
      <c r="H239" s="21">
        <f>G239</f>
        <v>1313846</v>
      </c>
    </row>
    <row r="240" spans="1:8">
      <c r="A240" s="20"/>
      <c r="B240" s="30"/>
      <c r="C240" s="32"/>
      <c r="D240" s="21"/>
      <c r="E240" s="21"/>
      <c r="F240" s="21">
        <f t="shared" si="25"/>
        <v>0</v>
      </c>
      <c r="G240" s="21"/>
      <c r="H240" s="21"/>
    </row>
    <row r="241" ht="42.75" customHeight="1" spans="1:8">
      <c r="A241" s="20">
        <v>7</v>
      </c>
      <c r="B241" s="52" t="s">
        <v>517</v>
      </c>
      <c r="C241" s="53"/>
      <c r="D241" s="21">
        <v>3</v>
      </c>
      <c r="E241" s="21">
        <f>271200</f>
        <v>271200</v>
      </c>
      <c r="F241" s="21">
        <f t="shared" si="25"/>
        <v>813600</v>
      </c>
      <c r="G241" s="21">
        <v>892800</v>
      </c>
      <c r="H241" s="21">
        <f>G241</f>
        <v>892800</v>
      </c>
    </row>
    <row r="242" ht="29.25" customHeight="1" spans="1:8">
      <c r="A242" s="20"/>
      <c r="B242" s="52" t="s">
        <v>518</v>
      </c>
      <c r="C242" s="53"/>
      <c r="D242" s="21"/>
      <c r="E242" s="21"/>
      <c r="F242" s="21"/>
      <c r="G242" s="21"/>
      <c r="H242" s="21"/>
    </row>
    <row r="243" ht="29.25" customHeight="1" spans="1:8">
      <c r="A243" s="20"/>
      <c r="B243" s="52" t="s">
        <v>519</v>
      </c>
      <c r="C243" s="53"/>
      <c r="D243" s="21"/>
      <c r="E243" s="21"/>
      <c r="F243" s="21"/>
      <c r="G243" s="21"/>
      <c r="H243" s="21"/>
    </row>
    <row r="244" ht="29.25" customHeight="1" spans="1:8">
      <c r="A244" s="20"/>
      <c r="B244" s="52" t="s">
        <v>520</v>
      </c>
      <c r="C244" s="53"/>
      <c r="D244" s="21"/>
      <c r="E244" s="21"/>
      <c r="F244" s="21"/>
      <c r="G244" s="21"/>
      <c r="H244" s="21"/>
    </row>
    <row r="245" ht="29.25" customHeight="1" spans="1:8">
      <c r="A245" s="20">
        <v>8</v>
      </c>
      <c r="B245" s="52" t="s">
        <v>521</v>
      </c>
      <c r="C245" s="53"/>
      <c r="D245" s="21">
        <v>1</v>
      </c>
      <c r="E245" s="21">
        <v>12000</v>
      </c>
      <c r="F245" s="21">
        <f t="shared" si="25"/>
        <v>12000</v>
      </c>
      <c r="G245" s="21"/>
      <c r="H245" s="21"/>
    </row>
    <row r="246" ht="29.25" customHeight="1" spans="1:8">
      <c r="A246" s="20"/>
      <c r="B246" s="52" t="s">
        <v>522</v>
      </c>
      <c r="C246" s="53"/>
      <c r="D246" s="21"/>
      <c r="E246" s="21"/>
      <c r="F246" s="21"/>
      <c r="G246" s="21"/>
      <c r="H246" s="21"/>
    </row>
    <row r="247" ht="44.25" customHeight="1" spans="1:8">
      <c r="A247" s="20">
        <v>9</v>
      </c>
      <c r="B247" s="52" t="s">
        <v>523</v>
      </c>
      <c r="C247" s="53"/>
      <c r="D247" s="21">
        <v>1</v>
      </c>
      <c r="E247" s="21">
        <v>4500</v>
      </c>
      <c r="F247" s="21">
        <f t="shared" si="25"/>
        <v>4500</v>
      </c>
      <c r="G247" s="21">
        <v>0</v>
      </c>
      <c r="H247" s="21">
        <v>0</v>
      </c>
    </row>
    <row r="248" ht="14.25" customHeight="1" spans="1:8">
      <c r="A248" s="20"/>
      <c r="B248" s="56" t="s">
        <v>524</v>
      </c>
      <c r="C248" s="57"/>
      <c r="D248" s="21"/>
      <c r="E248" s="21"/>
      <c r="F248" s="21"/>
      <c r="G248" s="21"/>
      <c r="H248" s="21"/>
    </row>
    <row r="249" ht="31.5" customHeight="1" spans="1:8">
      <c r="A249" s="20">
        <v>10</v>
      </c>
      <c r="B249" s="52" t="s">
        <v>525</v>
      </c>
      <c r="C249" s="53"/>
      <c r="D249" s="21">
        <v>1</v>
      </c>
      <c r="E249" s="21">
        <v>13650</v>
      </c>
      <c r="F249" s="21">
        <f t="shared" si="25"/>
        <v>13650</v>
      </c>
      <c r="G249" s="21">
        <v>0</v>
      </c>
      <c r="H249" s="21">
        <v>0</v>
      </c>
    </row>
    <row r="250" ht="15.75" customHeight="1" spans="1:8">
      <c r="A250" s="20"/>
      <c r="B250" s="56" t="s">
        <v>526</v>
      </c>
      <c r="C250" s="57"/>
      <c r="D250" s="21"/>
      <c r="E250" s="21"/>
      <c r="F250" s="21"/>
      <c r="G250" s="21"/>
      <c r="H250" s="21"/>
    </row>
    <row r="251" s="4" customFormat="1" ht="14.25" spans="1:11">
      <c r="A251" s="23"/>
      <c r="B251" s="45" t="s">
        <v>387</v>
      </c>
      <c r="C251" s="46"/>
      <c r="D251" s="24"/>
      <c r="E251" s="24"/>
      <c r="F251" s="24">
        <f>ROUND(SUM(F220:F250),0)</f>
        <v>2389044</v>
      </c>
      <c r="G251" s="24">
        <f>ROUND(SUM(G220:G241),0)</f>
        <v>2455643</v>
      </c>
      <c r="H251" s="24">
        <f>ROUND(SUM(H220:H241),0)</f>
        <v>2455643</v>
      </c>
      <c r="I251" s="44"/>
      <c r="J251" s="44"/>
      <c r="K251" s="44"/>
    </row>
    <row r="253" s="5" customFormat="1" ht="14.25" spans="1:11">
      <c r="A253" s="5" t="s">
        <v>527</v>
      </c>
      <c r="B253" s="15"/>
      <c r="C253" s="15"/>
      <c r="D253" s="15"/>
      <c r="E253" s="15"/>
      <c r="F253" s="15"/>
      <c r="G253" s="15"/>
      <c r="H253" s="15"/>
      <c r="I253" s="15"/>
      <c r="J253" s="15"/>
      <c r="K253" s="15"/>
    </row>
    <row r="255" ht="24" spans="1:8">
      <c r="A255" s="25" t="s">
        <v>389</v>
      </c>
      <c r="B255" s="27" t="s">
        <v>416</v>
      </c>
      <c r="C255" s="29"/>
      <c r="D255" s="18" t="s">
        <v>462</v>
      </c>
      <c r="E255" s="18" t="s">
        <v>467</v>
      </c>
      <c r="F255" s="18" t="s">
        <v>410</v>
      </c>
      <c r="G255" s="18" t="s">
        <v>411</v>
      </c>
      <c r="H255" s="18" t="s">
        <v>412</v>
      </c>
    </row>
    <row r="256" spans="1:8">
      <c r="A256" s="19">
        <v>1</v>
      </c>
      <c r="B256" s="30">
        <v>2</v>
      </c>
      <c r="C256" s="32"/>
      <c r="D256" s="19">
        <v>3</v>
      </c>
      <c r="E256" s="19">
        <v>4</v>
      </c>
      <c r="F256" s="19">
        <v>5</v>
      </c>
      <c r="G256" s="19">
        <v>6</v>
      </c>
      <c r="H256" s="19">
        <v>7</v>
      </c>
    </row>
    <row r="257" spans="1:8">
      <c r="A257" s="20">
        <v>1</v>
      </c>
      <c r="B257" s="47" t="s">
        <v>528</v>
      </c>
      <c r="C257" s="48"/>
      <c r="D257" s="21">
        <v>60</v>
      </c>
      <c r="E257" s="21">
        <v>500</v>
      </c>
      <c r="F257" s="21">
        <f>D257*E257</f>
        <v>30000</v>
      </c>
      <c r="G257" s="21">
        <v>30000</v>
      </c>
      <c r="H257" s="21">
        <v>30000</v>
      </c>
    </row>
    <row r="258" spans="1:8">
      <c r="A258" s="37"/>
      <c r="B258" s="47"/>
      <c r="C258" s="48"/>
      <c r="D258" s="21"/>
      <c r="E258" s="21"/>
      <c r="F258" s="21">
        <f t="shared" ref="F258:F303" si="26">D258*E258</f>
        <v>0</v>
      </c>
      <c r="G258" s="21"/>
      <c r="H258" s="21"/>
    </row>
    <row r="259" spans="1:8">
      <c r="A259" s="20">
        <v>2</v>
      </c>
      <c r="B259" s="47" t="s">
        <v>529</v>
      </c>
      <c r="C259" s="48"/>
      <c r="D259" s="21">
        <v>20</v>
      </c>
      <c r="E259" s="21">
        <v>1500</v>
      </c>
      <c r="F259" s="21">
        <f t="shared" si="26"/>
        <v>30000</v>
      </c>
      <c r="G259" s="21">
        <v>30000</v>
      </c>
      <c r="H259" s="21">
        <v>30000</v>
      </c>
    </row>
    <row r="260" spans="1:8">
      <c r="A260" s="37"/>
      <c r="B260" s="30"/>
      <c r="C260" s="32"/>
      <c r="D260" s="21"/>
      <c r="E260" s="21"/>
      <c r="F260" s="21">
        <f t="shared" si="26"/>
        <v>0</v>
      </c>
      <c r="G260" s="21"/>
      <c r="H260" s="21"/>
    </row>
    <row r="261" spans="1:8">
      <c r="A261" s="20">
        <v>3</v>
      </c>
      <c r="B261" s="47" t="s">
        <v>530</v>
      </c>
      <c r="C261" s="48"/>
      <c r="D261" s="21">
        <v>100</v>
      </c>
      <c r="E261" s="21">
        <v>363.81</v>
      </c>
      <c r="F261" s="21">
        <f t="shared" si="26"/>
        <v>36381</v>
      </c>
      <c r="G261" s="21">
        <v>54300</v>
      </c>
      <c r="H261" s="21">
        <v>54300</v>
      </c>
    </row>
    <row r="262" ht="30.75" customHeight="1" spans="1:13">
      <c r="A262" s="37"/>
      <c r="B262" s="52" t="s">
        <v>531</v>
      </c>
      <c r="C262" s="53"/>
      <c r="D262" s="21"/>
      <c r="E262" s="21"/>
      <c r="F262" s="21">
        <f t="shared" si="26"/>
        <v>0</v>
      </c>
      <c r="G262" s="21"/>
      <c r="H262" s="21"/>
      <c r="M262" s="63"/>
    </row>
    <row r="263" spans="1:8">
      <c r="A263" s="37"/>
      <c r="B263" s="110" t="s">
        <v>532</v>
      </c>
      <c r="C263" s="32"/>
      <c r="D263" s="111">
        <v>7.71</v>
      </c>
      <c r="E263" s="112">
        <v>20</v>
      </c>
      <c r="F263" s="21">
        <f t="shared" si="26"/>
        <v>154.2</v>
      </c>
      <c r="G263" s="21"/>
      <c r="H263" s="21"/>
    </row>
    <row r="264" spans="1:8">
      <c r="A264" s="37"/>
      <c r="B264" s="110" t="s">
        <v>532</v>
      </c>
      <c r="C264" s="32"/>
      <c r="D264" s="111">
        <v>7.71</v>
      </c>
      <c r="E264" s="112">
        <v>20</v>
      </c>
      <c r="F264" s="21">
        <f t="shared" si="26"/>
        <v>154.2</v>
      </c>
      <c r="G264" s="21"/>
      <c r="H264" s="21"/>
    </row>
    <row r="265" spans="1:8">
      <c r="A265" s="37"/>
      <c r="B265" s="110" t="s">
        <v>533</v>
      </c>
      <c r="C265" s="32"/>
      <c r="D265" s="111">
        <v>96.99</v>
      </c>
      <c r="E265" s="112">
        <v>3</v>
      </c>
      <c r="F265" s="21">
        <f t="shared" si="26"/>
        <v>290.97</v>
      </c>
      <c r="G265" s="21"/>
      <c r="H265" s="21"/>
    </row>
    <row r="266" spans="1:8">
      <c r="A266" s="37"/>
      <c r="B266" s="110" t="s">
        <v>534</v>
      </c>
      <c r="C266" s="32"/>
      <c r="D266" s="111">
        <v>17.13</v>
      </c>
      <c r="E266" s="112">
        <v>18</v>
      </c>
      <c r="F266" s="21">
        <f t="shared" si="26"/>
        <v>308.34</v>
      </c>
      <c r="G266" s="21"/>
      <c r="H266" s="21"/>
    </row>
    <row r="267" spans="1:8">
      <c r="A267" s="37"/>
      <c r="B267" s="110" t="s">
        <v>535</v>
      </c>
      <c r="C267" s="32"/>
      <c r="D267" s="111">
        <v>22.28</v>
      </c>
      <c r="E267" s="112">
        <v>40</v>
      </c>
      <c r="F267" s="21">
        <f t="shared" si="26"/>
        <v>891.2</v>
      </c>
      <c r="G267" s="21"/>
      <c r="H267" s="21"/>
    </row>
    <row r="268" spans="1:8">
      <c r="A268" s="37"/>
      <c r="B268" s="110" t="s">
        <v>536</v>
      </c>
      <c r="C268" s="32"/>
      <c r="D268" s="111">
        <v>36.74</v>
      </c>
      <c r="E268" s="112">
        <v>18</v>
      </c>
      <c r="F268" s="21">
        <f t="shared" si="26"/>
        <v>661.32</v>
      </c>
      <c r="G268" s="21"/>
      <c r="H268" s="21"/>
    </row>
    <row r="269" spans="1:8">
      <c r="A269" s="37"/>
      <c r="B269" s="110" t="s">
        <v>537</v>
      </c>
      <c r="C269" s="32"/>
      <c r="D269" s="111">
        <v>38.63</v>
      </c>
      <c r="E269" s="112">
        <v>1</v>
      </c>
      <c r="F269" s="21">
        <f t="shared" si="26"/>
        <v>38.63</v>
      </c>
      <c r="G269" s="21"/>
      <c r="H269" s="21"/>
    </row>
    <row r="270" spans="1:8">
      <c r="A270" s="37"/>
      <c r="B270" s="110" t="s">
        <v>537</v>
      </c>
      <c r="C270" s="32"/>
      <c r="D270" s="111">
        <v>37.93</v>
      </c>
      <c r="E270" s="112">
        <v>2</v>
      </c>
      <c r="F270" s="21">
        <f t="shared" si="26"/>
        <v>75.86</v>
      </c>
      <c r="G270" s="21"/>
      <c r="H270" s="21"/>
    </row>
    <row r="271" ht="22.5" spans="1:8">
      <c r="A271" s="37"/>
      <c r="B271" s="110" t="s">
        <v>538</v>
      </c>
      <c r="C271" s="32"/>
      <c r="D271" s="111">
        <v>48.98</v>
      </c>
      <c r="E271" s="112">
        <v>36</v>
      </c>
      <c r="F271" s="21">
        <f t="shared" si="26"/>
        <v>1763.28</v>
      </c>
      <c r="G271" s="21"/>
      <c r="H271" s="21"/>
    </row>
    <row r="272" ht="30.75" customHeight="1" spans="1:8">
      <c r="A272" s="37"/>
      <c r="B272" s="52" t="s">
        <v>531</v>
      </c>
      <c r="C272" s="53"/>
      <c r="D272" s="21"/>
      <c r="E272" s="21"/>
      <c r="F272" s="21">
        <f t="shared" si="26"/>
        <v>0</v>
      </c>
      <c r="G272" s="21"/>
      <c r="H272" s="21"/>
    </row>
    <row r="273" spans="1:8">
      <c r="A273" s="37"/>
      <c r="B273" s="113" t="s">
        <v>534</v>
      </c>
      <c r="C273" s="114"/>
      <c r="D273" s="111">
        <v>17.13</v>
      </c>
      <c r="E273" s="112">
        <v>57</v>
      </c>
      <c r="F273" s="21">
        <f t="shared" si="26"/>
        <v>976.41</v>
      </c>
      <c r="G273" s="21"/>
      <c r="H273" s="21"/>
    </row>
    <row r="274" spans="1:8">
      <c r="A274" s="37"/>
      <c r="B274" s="113" t="s">
        <v>535</v>
      </c>
      <c r="C274" s="114"/>
      <c r="D274" s="111">
        <v>22.28</v>
      </c>
      <c r="E274" s="112">
        <v>82</v>
      </c>
      <c r="F274" s="21">
        <f t="shared" si="26"/>
        <v>1826.96</v>
      </c>
      <c r="G274" s="21"/>
      <c r="H274" s="21"/>
    </row>
    <row r="275" spans="1:8">
      <c r="A275" s="37"/>
      <c r="B275" s="113" t="s">
        <v>539</v>
      </c>
      <c r="C275" s="114"/>
      <c r="D275" s="111">
        <v>47.74</v>
      </c>
      <c r="E275" s="112">
        <v>22</v>
      </c>
      <c r="F275" s="21">
        <f t="shared" si="26"/>
        <v>1050.28</v>
      </c>
      <c r="G275" s="21"/>
      <c r="H275" s="21"/>
    </row>
    <row r="276" spans="1:8">
      <c r="A276" s="37"/>
      <c r="B276" s="113" t="s">
        <v>537</v>
      </c>
      <c r="C276" s="114"/>
      <c r="D276" s="111">
        <v>37.93</v>
      </c>
      <c r="E276" s="112">
        <v>1</v>
      </c>
      <c r="F276" s="21">
        <f t="shared" si="26"/>
        <v>37.93</v>
      </c>
      <c r="G276" s="21"/>
      <c r="H276" s="21"/>
    </row>
    <row r="277" spans="1:8">
      <c r="A277" s="37"/>
      <c r="B277" s="113" t="s">
        <v>537</v>
      </c>
      <c r="C277" s="114"/>
      <c r="D277" s="111">
        <v>37.94</v>
      </c>
      <c r="E277" s="112">
        <v>15</v>
      </c>
      <c r="F277" s="21">
        <f>D277*E277-0.06</f>
        <v>569.04</v>
      </c>
      <c r="G277" s="21"/>
      <c r="H277" s="21"/>
    </row>
    <row r="278" ht="14.25" customHeight="1" spans="1:8">
      <c r="A278" s="37"/>
      <c r="B278" s="113" t="s">
        <v>538</v>
      </c>
      <c r="C278" s="114"/>
      <c r="D278" s="111">
        <v>48.98</v>
      </c>
      <c r="E278" s="112">
        <v>31</v>
      </c>
      <c r="F278" s="21">
        <f t="shared" si="26"/>
        <v>1518.38</v>
      </c>
      <c r="G278" s="21"/>
      <c r="H278" s="21"/>
    </row>
    <row r="279" ht="32.25" customHeight="1" spans="1:8">
      <c r="A279" s="37"/>
      <c r="B279" s="52" t="s">
        <v>540</v>
      </c>
      <c r="C279" s="53"/>
      <c r="D279" s="21"/>
      <c r="E279" s="21"/>
      <c r="F279" s="21">
        <f t="shared" si="26"/>
        <v>0</v>
      </c>
      <c r="G279" s="21"/>
      <c r="H279" s="21"/>
    </row>
    <row r="280" spans="1:8">
      <c r="A280" s="20"/>
      <c r="B280" s="110" t="s">
        <v>541</v>
      </c>
      <c r="C280" s="115"/>
      <c r="D280" s="112">
        <v>2</v>
      </c>
      <c r="E280" s="111">
        <v>226.5</v>
      </c>
      <c r="F280" s="21">
        <f t="shared" ref="F280:F302" si="27">D280*E280</f>
        <v>453</v>
      </c>
      <c r="G280" s="21"/>
      <c r="H280" s="21"/>
    </row>
    <row r="281" spans="1:8">
      <c r="A281" s="20"/>
      <c r="B281" s="110" t="s">
        <v>542</v>
      </c>
      <c r="C281" s="115"/>
      <c r="D281" s="112">
        <v>1</v>
      </c>
      <c r="E281" s="111">
        <v>17</v>
      </c>
      <c r="F281" s="21">
        <f t="shared" si="27"/>
        <v>17</v>
      </c>
      <c r="G281" s="21"/>
      <c r="H281" s="21"/>
    </row>
    <row r="282" spans="1:8">
      <c r="A282" s="20"/>
      <c r="B282" s="110" t="s">
        <v>543</v>
      </c>
      <c r="C282" s="115"/>
      <c r="D282" s="112">
        <v>1</v>
      </c>
      <c r="E282" s="111">
        <v>27.8</v>
      </c>
      <c r="F282" s="21">
        <f t="shared" si="27"/>
        <v>27.8</v>
      </c>
      <c r="G282" s="21"/>
      <c r="H282" s="21"/>
    </row>
    <row r="283" spans="1:8">
      <c r="A283" s="20"/>
      <c r="B283" s="110" t="s">
        <v>544</v>
      </c>
      <c r="C283" s="115"/>
      <c r="D283" s="112">
        <v>2</v>
      </c>
      <c r="E283" s="111">
        <v>140</v>
      </c>
      <c r="F283" s="21">
        <f t="shared" si="27"/>
        <v>280</v>
      </c>
      <c r="G283" s="21"/>
      <c r="H283" s="21"/>
    </row>
    <row r="284" spans="1:8">
      <c r="A284" s="20"/>
      <c r="B284" s="110" t="s">
        <v>539</v>
      </c>
      <c r="C284" s="115"/>
      <c r="D284" s="112">
        <v>3</v>
      </c>
      <c r="E284" s="111">
        <v>806.4</v>
      </c>
      <c r="F284" s="21">
        <f t="shared" si="27"/>
        <v>2419.2</v>
      </c>
      <c r="G284" s="21"/>
      <c r="H284" s="21"/>
    </row>
    <row r="285" ht="18" customHeight="1" spans="1:8">
      <c r="A285" s="37"/>
      <c r="B285" s="52" t="s">
        <v>545</v>
      </c>
      <c r="C285" s="53"/>
      <c r="D285" s="21"/>
      <c r="E285" s="21"/>
      <c r="F285" s="21">
        <f t="shared" si="27"/>
        <v>0</v>
      </c>
      <c r="G285" s="21"/>
      <c r="H285" s="21"/>
    </row>
    <row r="286" spans="1:8">
      <c r="A286" s="20"/>
      <c r="B286" s="110" t="s">
        <v>546</v>
      </c>
      <c r="C286" s="115"/>
      <c r="D286" s="112">
        <v>25</v>
      </c>
      <c r="E286" s="111">
        <v>67.5</v>
      </c>
      <c r="F286" s="21">
        <f t="shared" si="27"/>
        <v>1687.5</v>
      </c>
      <c r="G286" s="21"/>
      <c r="H286" s="21"/>
    </row>
    <row r="287" spans="1:8">
      <c r="A287" s="20"/>
      <c r="B287" s="110" t="s">
        <v>546</v>
      </c>
      <c r="C287" s="115"/>
      <c r="D287" s="112">
        <v>32</v>
      </c>
      <c r="E287" s="111">
        <v>56.65</v>
      </c>
      <c r="F287" s="21">
        <f>D287*E287-0.1</f>
        <v>1812.7</v>
      </c>
      <c r="G287" s="21"/>
      <c r="H287" s="21"/>
    </row>
    <row r="288" spans="1:14">
      <c r="A288" s="20"/>
      <c r="B288" s="110" t="s">
        <v>547</v>
      </c>
      <c r="C288" s="115"/>
      <c r="D288" s="112">
        <v>6</v>
      </c>
      <c r="E288" s="111">
        <v>150.8</v>
      </c>
      <c r="F288" s="21">
        <f t="shared" si="27"/>
        <v>904.8</v>
      </c>
      <c r="G288" s="21"/>
      <c r="H288" s="21"/>
      <c r="N288" s="63"/>
    </row>
    <row r="289" ht="30" customHeight="1" spans="1:8">
      <c r="A289" s="20"/>
      <c r="B289" s="52" t="s">
        <v>548</v>
      </c>
      <c r="C289" s="53"/>
      <c r="D289" s="59"/>
      <c r="E289" s="61"/>
      <c r="F289" s="21"/>
      <c r="G289" s="21"/>
      <c r="H289" s="21"/>
    </row>
    <row r="290" spans="1:14">
      <c r="A290" s="20"/>
      <c r="B290" s="110" t="s">
        <v>549</v>
      </c>
      <c r="C290" s="115"/>
      <c r="D290" s="112">
        <v>27</v>
      </c>
      <c r="E290" s="111">
        <v>728</v>
      </c>
      <c r="F290" s="21">
        <f t="shared" si="27"/>
        <v>19656</v>
      </c>
      <c r="G290" s="21"/>
      <c r="H290" s="21"/>
      <c r="N290" s="63"/>
    </row>
    <row r="291" spans="1:8">
      <c r="A291" s="20"/>
      <c r="B291" s="110" t="s">
        <v>550</v>
      </c>
      <c r="C291" s="115"/>
      <c r="D291" s="112">
        <v>6</v>
      </c>
      <c r="E291" s="111">
        <v>380</v>
      </c>
      <c r="F291" s="21">
        <f t="shared" si="27"/>
        <v>2280</v>
      </c>
      <c r="G291" s="21"/>
      <c r="H291" s="21"/>
    </row>
    <row r="292" spans="1:12">
      <c r="A292" s="20"/>
      <c r="B292" s="110" t="s">
        <v>551</v>
      </c>
      <c r="C292" s="115"/>
      <c r="D292" s="112">
        <v>6</v>
      </c>
      <c r="E292" s="111">
        <v>94</v>
      </c>
      <c r="F292" s="21">
        <f t="shared" si="27"/>
        <v>564</v>
      </c>
      <c r="G292" s="21"/>
      <c r="H292" s="21"/>
      <c r="L292" s="63"/>
    </row>
    <row r="293" spans="1:8">
      <c r="A293" s="20"/>
      <c r="B293" s="110" t="s">
        <v>549</v>
      </c>
      <c r="C293" s="115"/>
      <c r="D293" s="112">
        <v>1</v>
      </c>
      <c r="E293" s="116">
        <v>3100</v>
      </c>
      <c r="F293" s="21">
        <f t="shared" si="27"/>
        <v>3100</v>
      </c>
      <c r="G293" s="21"/>
      <c r="H293" s="21"/>
    </row>
    <row r="294" ht="30" customHeight="1" spans="1:8">
      <c r="A294" s="20"/>
      <c r="B294" s="52" t="s">
        <v>552</v>
      </c>
      <c r="C294" s="53"/>
      <c r="D294" s="59"/>
      <c r="E294" s="61"/>
      <c r="F294" s="21"/>
      <c r="G294" s="21"/>
      <c r="H294" s="21"/>
    </row>
    <row r="295" spans="1:8">
      <c r="A295" s="20"/>
      <c r="B295" s="110" t="s">
        <v>553</v>
      </c>
      <c r="C295" s="115"/>
      <c r="D295" s="112">
        <v>2</v>
      </c>
      <c r="E295" s="116">
        <v>11500</v>
      </c>
      <c r="F295" s="21">
        <f t="shared" si="27"/>
        <v>23000</v>
      </c>
      <c r="G295" s="21"/>
      <c r="H295" s="21"/>
    </row>
    <row r="296" hidden="1" spans="1:8">
      <c r="A296" s="20"/>
      <c r="B296" s="110"/>
      <c r="C296" s="110"/>
      <c r="D296" s="21"/>
      <c r="E296" s="21"/>
      <c r="F296" s="21">
        <f t="shared" si="27"/>
        <v>0</v>
      </c>
      <c r="G296" s="21"/>
      <c r="H296" s="21"/>
    </row>
    <row r="297" hidden="1" spans="1:8">
      <c r="A297" s="20"/>
      <c r="B297" s="110"/>
      <c r="C297" s="110"/>
      <c r="D297" s="21"/>
      <c r="E297" s="21"/>
      <c r="F297" s="21">
        <f t="shared" si="27"/>
        <v>0</v>
      </c>
      <c r="G297" s="21"/>
      <c r="H297" s="21"/>
    </row>
    <row r="298" hidden="1" spans="1:8">
      <c r="A298" s="20"/>
      <c r="B298" s="110"/>
      <c r="C298" s="110"/>
      <c r="D298" s="21"/>
      <c r="E298" s="21"/>
      <c r="F298" s="21">
        <f t="shared" si="27"/>
        <v>0</v>
      </c>
      <c r="G298" s="21"/>
      <c r="H298" s="21"/>
    </row>
    <row r="299" hidden="1" spans="1:8">
      <c r="A299" s="20"/>
      <c r="B299" s="110"/>
      <c r="C299" s="110"/>
      <c r="D299" s="21"/>
      <c r="E299" s="21"/>
      <c r="F299" s="21">
        <f t="shared" si="27"/>
        <v>0</v>
      </c>
      <c r="G299" s="21"/>
      <c r="H299" s="21"/>
    </row>
    <row r="300" hidden="1" spans="1:8">
      <c r="A300" s="20"/>
      <c r="B300" s="110"/>
      <c r="C300" s="110"/>
      <c r="D300" s="21"/>
      <c r="E300" s="21"/>
      <c r="F300" s="21">
        <f t="shared" si="27"/>
        <v>0</v>
      </c>
      <c r="G300" s="21"/>
      <c r="H300" s="21"/>
    </row>
    <row r="301" hidden="1" spans="1:8">
      <c r="A301" s="20"/>
      <c r="B301" s="110"/>
      <c r="C301" s="110"/>
      <c r="D301" s="21"/>
      <c r="E301" s="21"/>
      <c r="F301" s="21">
        <f t="shared" si="27"/>
        <v>0</v>
      </c>
      <c r="G301" s="21"/>
      <c r="H301" s="21"/>
    </row>
    <row r="302" hidden="1" spans="1:8">
      <c r="A302" s="20"/>
      <c r="B302" s="110"/>
      <c r="C302" s="110"/>
      <c r="D302" s="21"/>
      <c r="E302" s="21"/>
      <c r="F302" s="21">
        <f t="shared" si="27"/>
        <v>0</v>
      </c>
      <c r="G302" s="21"/>
      <c r="H302" s="21"/>
    </row>
    <row r="303" spans="1:8">
      <c r="A303" s="20"/>
      <c r="B303" s="30"/>
      <c r="C303" s="32"/>
      <c r="D303" s="21"/>
      <c r="E303" s="21"/>
      <c r="F303" s="21">
        <f t="shared" si="26"/>
        <v>0</v>
      </c>
      <c r="G303" s="21"/>
      <c r="H303" s="21"/>
    </row>
    <row r="304" s="4" customFormat="1" ht="14.25" spans="1:11">
      <c r="A304" s="23"/>
      <c r="B304" s="45" t="s">
        <v>387</v>
      </c>
      <c r="C304" s="46"/>
      <c r="D304" s="24"/>
      <c r="E304" s="24"/>
      <c r="F304" s="24">
        <f>SUM(F257:F303)</f>
        <v>162900</v>
      </c>
      <c r="G304" s="24">
        <f t="shared" ref="G304:H304" si="28">SUM(G257:G303)</f>
        <v>114300</v>
      </c>
      <c r="H304" s="24">
        <f t="shared" si="28"/>
        <v>114300</v>
      </c>
      <c r="I304" s="44"/>
      <c r="J304" s="44"/>
      <c r="K304" s="44"/>
    </row>
    <row r="305" ht="15.75"/>
    <row r="306" ht="15.75" spans="1:8">
      <c r="A306" s="65"/>
      <c r="B306" s="66" t="s">
        <v>554</v>
      </c>
      <c r="C306" s="67"/>
      <c r="D306" s="67"/>
      <c r="E306" s="68"/>
      <c r="F306" s="69">
        <f>F304+F251+F214+F157+G145+F113+G101+F88+F76+F67+F55+F42+I30</f>
        <v>10243100</v>
      </c>
      <c r="G306" s="69">
        <f>G304+G251+G214+G157+H145+G113+H101+G88+G76+G67+G55+G42+J30</f>
        <v>10437151.9968</v>
      </c>
      <c r="H306" s="69">
        <f>H304+H251+H214+H157+I145+H113+I101+H88+H76+H67+H55+H42+K30</f>
        <v>10690251.9968</v>
      </c>
    </row>
    <row r="309" s="6" customFormat="1" ht="20.25" customHeight="1" spans="1:21">
      <c r="A309" s="6" t="s">
        <v>267</v>
      </c>
      <c r="D309" s="70" t="str">
        <f>закупки!AQ30</f>
        <v>Заведующий</v>
      </c>
      <c r="E309" s="71"/>
      <c r="F309" s="70"/>
      <c r="G309" s="71"/>
      <c r="H309" s="70" t="str">
        <f>закупки!BY30</f>
        <v>Измайлова Н.В.</v>
      </c>
      <c r="I309" s="70"/>
      <c r="J309" s="71"/>
      <c r="K309" s="71"/>
      <c r="L309" s="71"/>
      <c r="M309" s="71"/>
      <c r="N309" s="71"/>
      <c r="O309" s="71"/>
      <c r="P309" s="71"/>
      <c r="Q309" s="71"/>
      <c r="R309" s="71"/>
      <c r="S309" s="71"/>
      <c r="T309" s="71"/>
      <c r="U309" s="77"/>
    </row>
    <row r="310" s="6" customFormat="1" ht="20.25" customHeight="1" spans="1:21">
      <c r="A310" s="6" t="s">
        <v>268</v>
      </c>
      <c r="D310" s="72" t="s">
        <v>555</v>
      </c>
      <c r="E310" s="73"/>
      <c r="F310" s="72" t="s">
        <v>556</v>
      </c>
      <c r="G310" s="73"/>
      <c r="H310" s="74" t="s">
        <v>557</v>
      </c>
      <c r="I310" s="74"/>
      <c r="J310" s="73"/>
      <c r="K310" s="73"/>
      <c r="L310" s="73"/>
      <c r="M310" s="73"/>
      <c r="N310" s="73"/>
      <c r="O310" s="73"/>
      <c r="P310" s="73"/>
      <c r="Q310" s="73"/>
      <c r="R310" s="73"/>
      <c r="S310" s="73"/>
      <c r="T310" s="73"/>
      <c r="U310" s="77"/>
    </row>
    <row r="311" s="6" customFormat="1" spans="1:1">
      <c r="A311" s="75"/>
    </row>
    <row r="312" s="6" customFormat="1" ht="30" customHeight="1" spans="1:8">
      <c r="A312" s="75" t="s">
        <v>271</v>
      </c>
      <c r="B312" s="75"/>
      <c r="C312" s="70" t="str">
        <f>закупки!AM33</f>
        <v>Гл.бухгалтер</v>
      </c>
      <c r="D312" s="71"/>
      <c r="E312" s="70" t="str">
        <f>закупки!BG33</f>
        <v>Родионова Н.А.</v>
      </c>
      <c r="F312" s="71"/>
      <c r="G312" s="76" t="str">
        <f>закупки!CA33</f>
        <v>31-55-99</v>
      </c>
      <c r="H312" s="70"/>
    </row>
    <row r="313" s="6" customFormat="1" spans="3:8">
      <c r="C313" s="72" t="s">
        <v>558</v>
      </c>
      <c r="D313" s="73"/>
      <c r="E313" s="74" t="s">
        <v>275</v>
      </c>
      <c r="F313" s="73"/>
      <c r="G313" s="74" t="s">
        <v>276</v>
      </c>
      <c r="H313" s="74"/>
    </row>
    <row r="314" s="6" customFormat="1"/>
    <row r="315" s="6" customFormat="1"/>
    <row r="316" s="6" customFormat="1"/>
    <row r="317" s="6" customFormat="1"/>
    <row r="318" s="6" customFormat="1" spans="1:5">
      <c r="A318" s="75" t="s">
        <v>559</v>
      </c>
      <c r="B318" s="75"/>
      <c r="C318" s="75"/>
      <c r="D318" s="75"/>
      <c r="E318" s="75"/>
    </row>
  </sheetData>
  <mergeCells count="173">
    <mergeCell ref="J1:K1"/>
    <mergeCell ref="I2:K2"/>
    <mergeCell ref="A3:K3"/>
    <mergeCell ref="A6:K6"/>
    <mergeCell ref="A8:B8"/>
    <mergeCell ref="A10:C10"/>
    <mergeCell ref="D15:G15"/>
    <mergeCell ref="A44:H44"/>
    <mergeCell ref="B46:D46"/>
    <mergeCell ref="B47:D47"/>
    <mergeCell ref="B48:D48"/>
    <mergeCell ref="B49:D49"/>
    <mergeCell ref="B50:D50"/>
    <mergeCell ref="B51:D51"/>
    <mergeCell ref="B52:D52"/>
    <mergeCell ref="B53:D53"/>
    <mergeCell ref="B54:D54"/>
    <mergeCell ref="B55:D55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71:C71"/>
    <mergeCell ref="B72:C72"/>
    <mergeCell ref="B73:C73"/>
    <mergeCell ref="B74:C74"/>
    <mergeCell ref="B75:C75"/>
    <mergeCell ref="B76:C76"/>
    <mergeCell ref="A78:H78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93:C93"/>
    <mergeCell ref="B94:C94"/>
    <mergeCell ref="B95:C95"/>
    <mergeCell ref="B96:C96"/>
    <mergeCell ref="B97:C97"/>
    <mergeCell ref="B100:C100"/>
    <mergeCell ref="B101:C101"/>
    <mergeCell ref="B105:C105"/>
    <mergeCell ref="B106:C106"/>
    <mergeCell ref="B107:C107"/>
    <mergeCell ref="B108:C108"/>
    <mergeCell ref="B109:C109"/>
    <mergeCell ref="B110:C110"/>
    <mergeCell ref="B111:C111"/>
    <mergeCell ref="B112:C112"/>
    <mergeCell ref="B113:C113"/>
    <mergeCell ref="B117:C117"/>
    <mergeCell ref="B118:C118"/>
    <mergeCell ref="B119:C119"/>
    <mergeCell ref="B121:C121"/>
    <mergeCell ref="B123:C123"/>
    <mergeCell ref="B124:C124"/>
    <mergeCell ref="B126:C126"/>
    <mergeCell ref="B131:C131"/>
    <mergeCell ref="B136:C136"/>
    <mergeCell ref="B141:C141"/>
    <mergeCell ref="B144:C144"/>
    <mergeCell ref="B145:C145"/>
    <mergeCell ref="B149:C149"/>
    <mergeCell ref="B150:C150"/>
    <mergeCell ref="B151:C151"/>
    <mergeCell ref="B152:C152"/>
    <mergeCell ref="B153:C153"/>
    <mergeCell ref="B154:C154"/>
    <mergeCell ref="B155:C155"/>
    <mergeCell ref="B156:C156"/>
    <mergeCell ref="B157:C157"/>
    <mergeCell ref="B161:C161"/>
    <mergeCell ref="B162:C162"/>
    <mergeCell ref="B163:C163"/>
    <mergeCell ref="B164:C164"/>
    <mergeCell ref="B166:C166"/>
    <mergeCell ref="B167:C167"/>
    <mergeCell ref="B169:C169"/>
    <mergeCell ref="B170:C170"/>
    <mergeCell ref="B171:C171"/>
    <mergeCell ref="B173:C173"/>
    <mergeCell ref="B174:C174"/>
    <mergeCell ref="B176:C176"/>
    <mergeCell ref="B177:C177"/>
    <mergeCell ref="B179:C179"/>
    <mergeCell ref="B180:C180"/>
    <mergeCell ref="B181:C181"/>
    <mergeCell ref="B183:C183"/>
    <mergeCell ref="B184:C184"/>
    <mergeCell ref="B185:C185"/>
    <mergeCell ref="B186:C186"/>
    <mergeCell ref="B189:C189"/>
    <mergeCell ref="B192:C192"/>
    <mergeCell ref="B196:C196"/>
    <mergeCell ref="B199:C199"/>
    <mergeCell ref="B202:C202"/>
    <mergeCell ref="B205:C205"/>
    <mergeCell ref="B208:C208"/>
    <mergeCell ref="B211:C211"/>
    <mergeCell ref="B212:C212"/>
    <mergeCell ref="B213:C213"/>
    <mergeCell ref="B214:C214"/>
    <mergeCell ref="B218:C218"/>
    <mergeCell ref="B219:C219"/>
    <mergeCell ref="B220:C220"/>
    <mergeCell ref="B221:C221"/>
    <mergeCell ref="B222:C222"/>
    <mergeCell ref="B223:C223"/>
    <mergeCell ref="B224:C224"/>
    <mergeCell ref="B225:C225"/>
    <mergeCell ref="B226:C226"/>
    <mergeCell ref="B227:C227"/>
    <mergeCell ref="B229:C229"/>
    <mergeCell ref="B230:C230"/>
    <mergeCell ref="B231:C231"/>
    <mergeCell ref="B234:C234"/>
    <mergeCell ref="B236:C236"/>
    <mergeCell ref="B237:C237"/>
    <mergeCell ref="B239:C239"/>
    <mergeCell ref="B240:C240"/>
    <mergeCell ref="B241:C241"/>
    <mergeCell ref="B242:C242"/>
    <mergeCell ref="B243:C243"/>
    <mergeCell ref="B244:C244"/>
    <mergeCell ref="B245:C245"/>
    <mergeCell ref="B246:C246"/>
    <mergeCell ref="B247:C247"/>
    <mergeCell ref="B248:C248"/>
    <mergeCell ref="B249:C249"/>
    <mergeCell ref="B250:C250"/>
    <mergeCell ref="B251:C251"/>
    <mergeCell ref="B255:C255"/>
    <mergeCell ref="B256:C256"/>
    <mergeCell ref="B257:C257"/>
    <mergeCell ref="B258:C258"/>
    <mergeCell ref="B261:C261"/>
    <mergeCell ref="B262:C262"/>
    <mergeCell ref="B272:C272"/>
    <mergeCell ref="B273:C273"/>
    <mergeCell ref="B274:C274"/>
    <mergeCell ref="B275:C275"/>
    <mergeCell ref="B276:C276"/>
    <mergeCell ref="B277:C277"/>
    <mergeCell ref="B278:C278"/>
    <mergeCell ref="B279:C279"/>
    <mergeCell ref="B285:C285"/>
    <mergeCell ref="B289:C289"/>
    <mergeCell ref="B294:C294"/>
    <mergeCell ref="B303:C303"/>
    <mergeCell ref="B304:C304"/>
    <mergeCell ref="B306:E306"/>
    <mergeCell ref="A309:C309"/>
    <mergeCell ref="A310:C310"/>
    <mergeCell ref="A312:B312"/>
    <mergeCell ref="G313:H313"/>
    <mergeCell ref="A318:E318"/>
    <mergeCell ref="A15:A17"/>
    <mergeCell ref="B15:B17"/>
    <mergeCell ref="C15:C17"/>
    <mergeCell ref="D16:D17"/>
    <mergeCell ref="H15:H17"/>
    <mergeCell ref="I15:I17"/>
    <mergeCell ref="J15:J17"/>
    <mergeCell ref="K15:K17"/>
  </mergeCells>
  <pageMargins left="0.475" right="0.15625" top="0.353333333333333" bottom="0.22" header="0.3" footer="0.3"/>
  <pageSetup paperSize="9" scale="64" orientation="portrait"/>
  <headerFooter/>
  <rowBreaks count="4" manualBreakCount="4">
    <brk id="76" max="10" man="1"/>
    <brk id="146" max="16383" man="1"/>
    <brk id="204" max="10" man="1"/>
    <brk id="251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232"/>
  <sheetViews>
    <sheetView topLeftCell="A219" workbookViewId="0">
      <selection activeCell="A232" sqref="A232:E232"/>
    </sheetView>
  </sheetViews>
  <sheetFormatPr defaultColWidth="9.14285714285714" defaultRowHeight="15"/>
  <cols>
    <col min="1" max="1" width="8.85714285714286" style="7" customWidth="1"/>
    <col min="2" max="2" width="17.7142857142857" style="8" customWidth="1"/>
    <col min="3" max="3" width="14.2857142857143" style="8" customWidth="1"/>
    <col min="4" max="11" width="14" style="8" customWidth="1"/>
    <col min="12" max="12" width="17.7142857142857" style="7" customWidth="1"/>
    <col min="13" max="16384" width="9.14285714285714" style="7"/>
  </cols>
  <sheetData>
    <row r="1" hidden="1" spans="9:11">
      <c r="I1" s="6"/>
      <c r="J1" s="40" t="s">
        <v>362</v>
      </c>
      <c r="K1" s="40"/>
    </row>
    <row r="2" hidden="1" spans="9:11">
      <c r="I2" s="41" t="s">
        <v>285</v>
      </c>
      <c r="J2" s="41"/>
      <c r="K2" s="41"/>
    </row>
    <row r="3" ht="15.75" spans="1:11">
      <c r="A3" s="9" t="s">
        <v>363</v>
      </c>
      <c r="B3" s="9"/>
      <c r="C3" s="9"/>
      <c r="D3" s="9"/>
      <c r="E3" s="9"/>
      <c r="F3" s="9"/>
      <c r="G3" s="9"/>
      <c r="H3" s="9"/>
      <c r="I3" s="9"/>
      <c r="J3" s="9"/>
      <c r="K3" s="9"/>
    </row>
    <row r="6" spans="1:11">
      <c r="A6" s="10" t="s">
        <v>364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8" spans="1:3">
      <c r="A8" s="11" t="s">
        <v>365</v>
      </c>
      <c r="B8" s="11"/>
      <c r="C8" s="12" t="s">
        <v>182</v>
      </c>
    </row>
    <row r="10" spans="1:4">
      <c r="A10" s="11" t="s">
        <v>366</v>
      </c>
      <c r="B10" s="11"/>
      <c r="C10" s="11"/>
      <c r="D10" s="13" t="s">
        <v>367</v>
      </c>
    </row>
    <row r="11" spans="1:3">
      <c r="A11" s="11"/>
      <c r="B11" s="11"/>
      <c r="C11" s="11"/>
    </row>
    <row r="12" spans="1:4">
      <c r="A12" s="14" t="s">
        <v>368</v>
      </c>
      <c r="B12" s="15"/>
      <c r="C12" s="15"/>
      <c r="D12" s="15"/>
    </row>
    <row r="13" spans="1:4">
      <c r="A13" s="14" t="s">
        <v>369</v>
      </c>
      <c r="B13" s="15"/>
      <c r="C13" s="15"/>
      <c r="D13" s="15"/>
    </row>
    <row r="15" s="1" customFormat="1" ht="12" spans="1:11">
      <c r="A15" s="16"/>
      <c r="B15" s="17" t="s">
        <v>370</v>
      </c>
      <c r="C15" s="17" t="s">
        <v>371</v>
      </c>
      <c r="D15" s="17" t="s">
        <v>372</v>
      </c>
      <c r="E15" s="17"/>
      <c r="F15" s="17"/>
      <c r="G15" s="17"/>
      <c r="H15" s="17" t="s">
        <v>373</v>
      </c>
      <c r="I15" s="17" t="s">
        <v>374</v>
      </c>
      <c r="J15" s="17" t="s">
        <v>375</v>
      </c>
      <c r="K15" s="17" t="s">
        <v>376</v>
      </c>
    </row>
    <row r="16" s="1" customFormat="1" ht="12" spans="1:11">
      <c r="A16" s="16"/>
      <c r="B16" s="17"/>
      <c r="C16" s="17"/>
      <c r="D16" s="16" t="s">
        <v>377</v>
      </c>
      <c r="E16" s="16" t="s">
        <v>54</v>
      </c>
      <c r="F16" s="16"/>
      <c r="G16" s="16"/>
      <c r="H16" s="17"/>
      <c r="I16" s="17"/>
      <c r="J16" s="17"/>
      <c r="K16" s="17"/>
    </row>
    <row r="17" s="2" customFormat="1" ht="36" spans="1:11">
      <c r="A17" s="16"/>
      <c r="B17" s="17"/>
      <c r="C17" s="17"/>
      <c r="D17" s="16"/>
      <c r="E17" s="18" t="s">
        <v>378</v>
      </c>
      <c r="F17" s="18" t="s">
        <v>379</v>
      </c>
      <c r="G17" s="18" t="s">
        <v>380</v>
      </c>
      <c r="H17" s="17"/>
      <c r="I17" s="17"/>
      <c r="J17" s="17"/>
      <c r="K17" s="17"/>
    </row>
    <row r="18" s="3" customFormat="1" spans="1:11">
      <c r="A18" s="19">
        <v>1</v>
      </c>
      <c r="B18" s="19">
        <v>2</v>
      </c>
      <c r="C18" s="19">
        <v>3</v>
      </c>
      <c r="D18" s="19">
        <v>4</v>
      </c>
      <c r="E18" s="19">
        <v>5</v>
      </c>
      <c r="F18" s="19">
        <v>6</v>
      </c>
      <c r="G18" s="19">
        <v>7</v>
      </c>
      <c r="H18" s="19">
        <v>8</v>
      </c>
      <c r="I18" s="19">
        <v>9</v>
      </c>
      <c r="J18" s="19">
        <v>10</v>
      </c>
      <c r="K18" s="19">
        <v>11</v>
      </c>
    </row>
    <row r="19" s="3" customFormat="1" spans="1:11">
      <c r="A19" s="19"/>
      <c r="B19" s="19" t="s">
        <v>381</v>
      </c>
      <c r="C19" s="19"/>
      <c r="D19" s="19"/>
      <c r="E19" s="19"/>
      <c r="F19" s="19"/>
      <c r="G19" s="19"/>
      <c r="H19" s="19"/>
      <c r="I19" s="19"/>
      <c r="J19" s="19"/>
      <c r="K19" s="19"/>
    </row>
    <row r="20" ht="24" spans="1:11">
      <c r="A20" s="20">
        <v>1</v>
      </c>
      <c r="B20" s="18" t="s">
        <v>382</v>
      </c>
      <c r="C20" s="21"/>
      <c r="D20" s="21">
        <f>E20+F20+G20</f>
        <v>0</v>
      </c>
      <c r="E20" s="21"/>
      <c r="F20" s="21"/>
      <c r="G20" s="21"/>
      <c r="H20" s="21"/>
      <c r="I20" s="21">
        <f>C20*D20+H20</f>
        <v>0</v>
      </c>
      <c r="J20" s="21"/>
      <c r="K20" s="21"/>
    </row>
    <row r="21" spans="1:11">
      <c r="A21" s="20">
        <v>2</v>
      </c>
      <c r="B21" s="18" t="s">
        <v>383</v>
      </c>
      <c r="C21" s="21"/>
      <c r="D21" s="21">
        <f t="shared" ref="D21:D29" si="0">E21+F21+G21</f>
        <v>0</v>
      </c>
      <c r="E21" s="21"/>
      <c r="F21" s="21"/>
      <c r="G21" s="21"/>
      <c r="H21" s="21"/>
      <c r="I21" s="21">
        <f t="shared" ref="I21:I29" si="1">C21*D21+H21</f>
        <v>0</v>
      </c>
      <c r="J21" s="21"/>
      <c r="K21" s="21"/>
    </row>
    <row r="22" spans="1:11">
      <c r="A22" s="20">
        <v>3</v>
      </c>
      <c r="B22" s="18" t="s">
        <v>384</v>
      </c>
      <c r="C22" s="21">
        <v>3</v>
      </c>
      <c r="D22" s="21">
        <f t="shared" si="0"/>
        <v>0</v>
      </c>
      <c r="E22" s="21"/>
      <c r="F22" s="21"/>
      <c r="G22" s="21"/>
      <c r="H22" s="21">
        <v>386.16</v>
      </c>
      <c r="I22" s="36">
        <f>ROUND((C22*H22)*12,0)</f>
        <v>13902</v>
      </c>
      <c r="J22" s="36">
        <v>13902</v>
      </c>
      <c r="K22" s="42">
        <v>13902</v>
      </c>
    </row>
    <row r="23" hidden="1" spans="1:11">
      <c r="A23" s="19"/>
      <c r="B23" s="19"/>
      <c r="C23" s="19"/>
      <c r="D23" s="21">
        <f t="shared" si="0"/>
        <v>0</v>
      </c>
      <c r="E23" s="21"/>
      <c r="F23" s="21"/>
      <c r="G23" s="21"/>
      <c r="H23" s="21"/>
      <c r="I23" s="36">
        <f t="shared" si="1"/>
        <v>0</v>
      </c>
      <c r="J23" s="36"/>
      <c r="K23" s="36"/>
    </row>
    <row r="24" s="3" customFormat="1" hidden="1" spans="1:11">
      <c r="A24" s="19"/>
      <c r="B24" s="19" t="s">
        <v>385</v>
      </c>
      <c r="C24" s="19"/>
      <c r="D24" s="19"/>
      <c r="E24" s="19"/>
      <c r="F24" s="19"/>
      <c r="G24" s="19"/>
      <c r="H24" s="19"/>
      <c r="I24" s="19"/>
      <c r="J24" s="19"/>
      <c r="K24" s="19"/>
    </row>
    <row r="25" ht="24" hidden="1" spans="1:11">
      <c r="A25" s="20">
        <v>1</v>
      </c>
      <c r="B25" s="18" t="s">
        <v>382</v>
      </c>
      <c r="C25" s="21"/>
      <c r="D25" s="21">
        <f>E25+F25+G25</f>
        <v>0</v>
      </c>
      <c r="E25" s="21"/>
      <c r="F25" s="21"/>
      <c r="G25" s="21"/>
      <c r="H25" s="21"/>
      <c r="I25" s="21">
        <f>C25*D25+H25</f>
        <v>0</v>
      </c>
      <c r="J25" s="21"/>
      <c r="K25" s="21"/>
    </row>
    <row r="26" hidden="1" spans="1:11">
      <c r="A26" s="20">
        <v>2</v>
      </c>
      <c r="B26" s="18" t="s">
        <v>383</v>
      </c>
      <c r="C26" s="21"/>
      <c r="D26" s="21">
        <f t="shared" ref="D26:D27" si="2">E26+F26+G26</f>
        <v>0</v>
      </c>
      <c r="E26" s="21"/>
      <c r="F26" s="21"/>
      <c r="G26" s="21"/>
      <c r="H26" s="21"/>
      <c r="I26" s="21">
        <f t="shared" ref="I26" si="3">C26*D26+H26</f>
        <v>0</v>
      </c>
      <c r="J26" s="21"/>
      <c r="K26" s="21"/>
    </row>
    <row r="27" hidden="1" spans="1:11">
      <c r="A27" s="20">
        <v>3</v>
      </c>
      <c r="B27" s="18" t="s">
        <v>384</v>
      </c>
      <c r="C27" s="21"/>
      <c r="D27" s="21">
        <f t="shared" si="2"/>
        <v>0</v>
      </c>
      <c r="E27" s="21">
        <f>0*1.03</f>
        <v>0</v>
      </c>
      <c r="F27" s="21">
        <f>ROUND(0*1.03,2)</f>
        <v>0</v>
      </c>
      <c r="G27" s="21"/>
      <c r="H27" s="21"/>
      <c r="I27" s="36">
        <f>ROUND((C27*D27+H27)*3,0)</f>
        <v>0</v>
      </c>
      <c r="J27" s="36"/>
      <c r="K27" s="42"/>
    </row>
    <row r="28" hidden="1" spans="1:11">
      <c r="A28" s="20"/>
      <c r="B28" s="22"/>
      <c r="C28" s="21"/>
      <c r="D28" s="21">
        <f t="shared" si="0"/>
        <v>0</v>
      </c>
      <c r="E28" s="21"/>
      <c r="F28" s="21"/>
      <c r="G28" s="21"/>
      <c r="H28" s="21"/>
      <c r="I28" s="36">
        <f t="shared" si="1"/>
        <v>0</v>
      </c>
      <c r="J28" s="36"/>
      <c r="K28" s="36"/>
    </row>
    <row r="29" spans="1:11">
      <c r="A29" s="20"/>
      <c r="B29" s="22"/>
      <c r="C29" s="21"/>
      <c r="D29" s="21">
        <f t="shared" si="0"/>
        <v>0</v>
      </c>
      <c r="E29" s="21"/>
      <c r="F29" s="21"/>
      <c r="G29" s="21"/>
      <c r="H29" s="21"/>
      <c r="I29" s="36">
        <f t="shared" si="1"/>
        <v>0</v>
      </c>
      <c r="J29" s="36"/>
      <c r="K29" s="36"/>
    </row>
    <row r="30" s="4" customFormat="1" ht="14.25" spans="1:11">
      <c r="A30" s="23" t="s">
        <v>387</v>
      </c>
      <c r="B30" s="24"/>
      <c r="C30" s="24"/>
      <c r="D30" s="24"/>
      <c r="E30" s="24"/>
      <c r="F30" s="24"/>
      <c r="G30" s="24"/>
      <c r="H30" s="24"/>
      <c r="I30" s="39">
        <f>SUM(I20:I29)</f>
        <v>13902</v>
      </c>
      <c r="J30" s="39">
        <f t="shared" ref="J30:K30" si="4">SUM(J20:J29)</f>
        <v>13902</v>
      </c>
      <c r="K30" s="39">
        <f t="shared" si="4"/>
        <v>13902</v>
      </c>
    </row>
    <row r="32" s="5" customFormat="1" ht="14.25" hidden="1" spans="1:11">
      <c r="A32" s="5" t="s">
        <v>388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</row>
    <row r="33" hidden="1"/>
    <row r="34" s="1" customFormat="1" ht="48" hidden="1" spans="1:11">
      <c r="A34" s="25" t="s">
        <v>389</v>
      </c>
      <c r="B34" s="18" t="s">
        <v>390</v>
      </c>
      <c r="C34" s="18" t="s">
        <v>391</v>
      </c>
      <c r="D34" s="18" t="s">
        <v>392</v>
      </c>
      <c r="E34" s="18" t="s">
        <v>393</v>
      </c>
      <c r="F34" s="18" t="s">
        <v>394</v>
      </c>
      <c r="G34" s="18" t="s">
        <v>394</v>
      </c>
      <c r="H34" s="18" t="s">
        <v>394</v>
      </c>
      <c r="I34" s="43"/>
      <c r="J34" s="43"/>
      <c r="K34" s="43"/>
    </row>
    <row r="35" s="3" customFormat="1" hidden="1" spans="1:8">
      <c r="A35" s="19">
        <v>1</v>
      </c>
      <c r="B35" s="19">
        <v>2</v>
      </c>
      <c r="C35" s="19">
        <v>3</v>
      </c>
      <c r="D35" s="19">
        <v>4</v>
      </c>
      <c r="E35" s="19">
        <v>5</v>
      </c>
      <c r="F35" s="19">
        <v>6</v>
      </c>
      <c r="G35" s="19">
        <v>7</v>
      </c>
      <c r="H35" s="19">
        <v>8</v>
      </c>
    </row>
    <row r="36" hidden="1" spans="1:8">
      <c r="A36" s="20"/>
      <c r="B36" s="21"/>
      <c r="C36" s="21"/>
      <c r="D36" s="21"/>
      <c r="E36" s="21"/>
      <c r="F36" s="21"/>
      <c r="G36" s="21"/>
      <c r="H36" s="21"/>
    </row>
    <row r="37" hidden="1" spans="1:8">
      <c r="A37" s="20"/>
      <c r="B37" s="21"/>
      <c r="C37" s="21"/>
      <c r="D37" s="21"/>
      <c r="E37" s="21"/>
      <c r="F37" s="21"/>
      <c r="G37" s="21"/>
      <c r="H37" s="21"/>
    </row>
    <row r="38" hidden="1" spans="1:8">
      <c r="A38" s="20"/>
      <c r="B38" s="21"/>
      <c r="C38" s="21"/>
      <c r="D38" s="21"/>
      <c r="E38" s="21"/>
      <c r="F38" s="21"/>
      <c r="G38" s="21"/>
      <c r="H38" s="21"/>
    </row>
    <row r="39" hidden="1" spans="1:8">
      <c r="A39" s="20"/>
      <c r="B39" s="21"/>
      <c r="C39" s="21"/>
      <c r="D39" s="21"/>
      <c r="E39" s="21"/>
      <c r="F39" s="21"/>
      <c r="G39" s="21"/>
      <c r="H39" s="21"/>
    </row>
    <row r="40" hidden="1" spans="1:8">
      <c r="A40" s="20"/>
      <c r="B40" s="21"/>
      <c r="C40" s="21"/>
      <c r="D40" s="21"/>
      <c r="E40" s="21"/>
      <c r="F40" s="21"/>
      <c r="G40" s="21"/>
      <c r="H40" s="21"/>
    </row>
    <row r="41" hidden="1" spans="1:8">
      <c r="A41" s="20"/>
      <c r="B41" s="21"/>
      <c r="C41" s="21"/>
      <c r="D41" s="21"/>
      <c r="E41" s="21"/>
      <c r="F41" s="21"/>
      <c r="G41" s="21"/>
      <c r="H41" s="21"/>
    </row>
    <row r="42" hidden="1" spans="1:8">
      <c r="A42" s="20"/>
      <c r="B42" s="21"/>
      <c r="C42" s="21"/>
      <c r="D42" s="21"/>
      <c r="E42" s="21"/>
      <c r="F42" s="21"/>
      <c r="G42" s="21"/>
      <c r="H42" s="21"/>
    </row>
    <row r="43" hidden="1"/>
    <row r="44" spans="1:8">
      <c r="A44" s="26" t="s">
        <v>395</v>
      </c>
      <c r="B44" s="26"/>
      <c r="C44" s="26"/>
      <c r="D44" s="26"/>
      <c r="E44" s="26"/>
      <c r="F44" s="26"/>
      <c r="G44" s="26"/>
      <c r="H44" s="26"/>
    </row>
    <row r="46" ht="48" spans="1:8">
      <c r="A46" s="25" t="s">
        <v>389</v>
      </c>
      <c r="B46" s="27" t="s">
        <v>396</v>
      </c>
      <c r="C46" s="28"/>
      <c r="D46" s="29"/>
      <c r="E46" s="18" t="s">
        <v>397</v>
      </c>
      <c r="F46" s="18" t="s">
        <v>398</v>
      </c>
      <c r="G46" s="18" t="s">
        <v>399</v>
      </c>
      <c r="H46" s="18" t="s">
        <v>400</v>
      </c>
    </row>
    <row r="47" spans="1:8">
      <c r="A47" s="19">
        <v>1</v>
      </c>
      <c r="B47" s="30">
        <v>2</v>
      </c>
      <c r="C47" s="31"/>
      <c r="D47" s="32"/>
      <c r="E47" s="19">
        <v>3</v>
      </c>
      <c r="F47" s="19">
        <v>4</v>
      </c>
      <c r="G47" s="19">
        <v>5</v>
      </c>
      <c r="H47" s="19">
        <v>6</v>
      </c>
    </row>
    <row r="48" ht="24" customHeight="1" spans="1:8">
      <c r="A48" s="20">
        <v>1</v>
      </c>
      <c r="B48" s="33" t="s">
        <v>401</v>
      </c>
      <c r="C48" s="34"/>
      <c r="D48" s="35"/>
      <c r="E48" s="36"/>
      <c r="F48" s="36">
        <f>F50</f>
        <v>3058</v>
      </c>
      <c r="G48" s="36">
        <f t="shared" ref="G48:H48" si="5">G50</f>
        <v>3058</v>
      </c>
      <c r="H48" s="36">
        <f t="shared" si="5"/>
        <v>3058</v>
      </c>
    </row>
    <row r="49" spans="1:8">
      <c r="A49" s="20"/>
      <c r="B49" s="33" t="s">
        <v>54</v>
      </c>
      <c r="C49" s="34"/>
      <c r="D49" s="35"/>
      <c r="E49" s="36"/>
      <c r="F49" s="36"/>
      <c r="G49" s="36"/>
      <c r="H49" s="36"/>
    </row>
    <row r="50" spans="1:8">
      <c r="A50" s="37"/>
      <c r="B50" s="33" t="s">
        <v>402</v>
      </c>
      <c r="C50" s="34"/>
      <c r="D50" s="35"/>
      <c r="E50" s="36">
        <f>I22+I27</f>
        <v>13902</v>
      </c>
      <c r="F50" s="36">
        <f>ROUND(E50*0.22,0)</f>
        <v>3058</v>
      </c>
      <c r="G50" s="36">
        <f>ROUND(J30*0.22,0)</f>
        <v>3058</v>
      </c>
      <c r="H50" s="36">
        <f>ROUND(K30*0.22,0)</f>
        <v>3058</v>
      </c>
    </row>
    <row r="51" ht="27" customHeight="1" spans="1:8">
      <c r="A51" s="20">
        <v>2</v>
      </c>
      <c r="B51" s="33" t="s">
        <v>403</v>
      </c>
      <c r="C51" s="34"/>
      <c r="D51" s="35"/>
      <c r="E51" s="36"/>
      <c r="F51" s="36">
        <f>F52+F53</f>
        <v>431</v>
      </c>
      <c r="G51" s="36">
        <f t="shared" ref="G51:H51" si="6">G52+G53</f>
        <v>431</v>
      </c>
      <c r="H51" s="36">
        <f t="shared" si="6"/>
        <v>431</v>
      </c>
    </row>
    <row r="52" ht="24" customHeight="1" spans="1:8">
      <c r="A52" s="20"/>
      <c r="B52" s="33" t="s">
        <v>404</v>
      </c>
      <c r="C52" s="34"/>
      <c r="D52" s="35"/>
      <c r="E52" s="36">
        <f>E50</f>
        <v>13902</v>
      </c>
      <c r="F52" s="36">
        <f>ROUND(E52*0.029,0)</f>
        <v>403</v>
      </c>
      <c r="G52" s="36">
        <f>ROUND(J30*0.029,0)</f>
        <v>403</v>
      </c>
      <c r="H52" s="36">
        <f>ROUND(K30*0.029,0)</f>
        <v>403</v>
      </c>
    </row>
    <row r="53" ht="39" customHeight="1" spans="1:8">
      <c r="A53" s="20"/>
      <c r="B53" s="33" t="s">
        <v>405</v>
      </c>
      <c r="C53" s="34"/>
      <c r="D53" s="35"/>
      <c r="E53" s="36">
        <f>E52</f>
        <v>13902</v>
      </c>
      <c r="F53" s="36">
        <f>ROUND(E53*0.002,0)</f>
        <v>28</v>
      </c>
      <c r="G53" s="36">
        <f>ROUND(J30*0.002,0)</f>
        <v>28</v>
      </c>
      <c r="H53" s="36">
        <f>ROUND(K30*0.002,0)</f>
        <v>28</v>
      </c>
    </row>
    <row r="54" ht="22.5" customHeight="1" spans="1:8">
      <c r="A54" s="20">
        <v>3</v>
      </c>
      <c r="B54" s="33" t="s">
        <v>406</v>
      </c>
      <c r="C54" s="34"/>
      <c r="D54" s="35"/>
      <c r="E54" s="36">
        <f>E53</f>
        <v>13902</v>
      </c>
      <c r="F54" s="36">
        <f>ROUND(E54*0.051,0)</f>
        <v>709</v>
      </c>
      <c r="G54" s="36">
        <f>ROUND(J30*0.051,0)</f>
        <v>709</v>
      </c>
      <c r="H54" s="36">
        <f>ROUND(K30*0.051,0)</f>
        <v>709</v>
      </c>
    </row>
    <row r="55" s="4" customFormat="1" ht="14.25" spans="1:11">
      <c r="A55" s="23"/>
      <c r="B55" s="38" t="s">
        <v>387</v>
      </c>
      <c r="C55" s="38"/>
      <c r="D55" s="38"/>
      <c r="E55" s="39"/>
      <c r="F55" s="39">
        <f>F48+F51+F54</f>
        <v>4198</v>
      </c>
      <c r="G55" s="39">
        <f t="shared" ref="G55:H55" si="7">G48+G51+G54</f>
        <v>4198</v>
      </c>
      <c r="H55" s="39">
        <f t="shared" si="7"/>
        <v>4198</v>
      </c>
      <c r="I55" s="44"/>
      <c r="J55" s="44"/>
      <c r="K55" s="44"/>
    </row>
    <row r="56" hidden="1"/>
    <row r="57" s="5" customFormat="1" ht="14.25" hidden="1" spans="1:11">
      <c r="A57" s="5" t="s">
        <v>407</v>
      </c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hidden="1"/>
    <row r="59" ht="24" hidden="1" spans="1:8">
      <c r="A59" s="25" t="s">
        <v>389</v>
      </c>
      <c r="B59" s="27" t="s">
        <v>24</v>
      </c>
      <c r="C59" s="29"/>
      <c r="D59" s="18" t="s">
        <v>408</v>
      </c>
      <c r="E59" s="18" t="s">
        <v>409</v>
      </c>
      <c r="F59" s="18" t="s">
        <v>410</v>
      </c>
      <c r="G59" s="18" t="s">
        <v>411</v>
      </c>
      <c r="H59" s="18" t="s">
        <v>412</v>
      </c>
    </row>
    <row r="60" hidden="1" spans="1:8">
      <c r="A60" s="19">
        <v>1</v>
      </c>
      <c r="B60" s="30">
        <v>2</v>
      </c>
      <c r="C60" s="32"/>
      <c r="D60" s="19">
        <v>3</v>
      </c>
      <c r="E60" s="19">
        <v>4</v>
      </c>
      <c r="F60" s="19">
        <v>5</v>
      </c>
      <c r="G60" s="19">
        <v>6</v>
      </c>
      <c r="H60" s="19">
        <v>7</v>
      </c>
    </row>
    <row r="61" hidden="1" spans="1:8">
      <c r="A61" s="20">
        <v>1</v>
      </c>
      <c r="B61" s="30" t="s">
        <v>413</v>
      </c>
      <c r="C61" s="32"/>
      <c r="D61" s="21"/>
      <c r="E61" s="21"/>
      <c r="F61" s="36">
        <f>D61*E61</f>
        <v>0</v>
      </c>
      <c r="G61" s="36"/>
      <c r="H61" s="36"/>
    </row>
    <row r="62" hidden="1" spans="1:8">
      <c r="A62" s="20">
        <v>2</v>
      </c>
      <c r="B62" s="30" t="s">
        <v>414</v>
      </c>
      <c r="C62" s="32"/>
      <c r="D62" s="21"/>
      <c r="E62" s="21"/>
      <c r="F62" s="36">
        <f t="shared" ref="F62:F66" si="8">D62*E62</f>
        <v>0</v>
      </c>
      <c r="G62" s="36"/>
      <c r="H62" s="36"/>
    </row>
    <row r="63" hidden="1" spans="1:8">
      <c r="A63" s="20"/>
      <c r="B63" s="30"/>
      <c r="C63" s="32"/>
      <c r="D63" s="21"/>
      <c r="E63" s="21"/>
      <c r="F63" s="36">
        <f t="shared" si="8"/>
        <v>0</v>
      </c>
      <c r="G63" s="36"/>
      <c r="H63" s="36"/>
    </row>
    <row r="64" hidden="1" spans="1:8">
      <c r="A64" s="20"/>
      <c r="B64" s="30"/>
      <c r="C64" s="32"/>
      <c r="D64" s="21"/>
      <c r="E64" s="21"/>
      <c r="F64" s="36">
        <f t="shared" si="8"/>
        <v>0</v>
      </c>
      <c r="G64" s="36"/>
      <c r="H64" s="36"/>
    </row>
    <row r="65" hidden="1" spans="1:8">
      <c r="A65" s="20"/>
      <c r="B65" s="30"/>
      <c r="C65" s="32"/>
      <c r="D65" s="21"/>
      <c r="E65" s="21"/>
      <c r="F65" s="36">
        <f t="shared" si="8"/>
        <v>0</v>
      </c>
      <c r="G65" s="36"/>
      <c r="H65" s="36"/>
    </row>
    <row r="66" hidden="1" spans="1:8">
      <c r="A66" s="20"/>
      <c r="B66" s="30"/>
      <c r="C66" s="32"/>
      <c r="D66" s="21"/>
      <c r="E66" s="21"/>
      <c r="F66" s="36">
        <f t="shared" si="8"/>
        <v>0</v>
      </c>
      <c r="G66" s="36"/>
      <c r="H66" s="36"/>
    </row>
    <row r="67" s="4" customFormat="1" ht="14.25" hidden="1" spans="1:11">
      <c r="A67" s="23"/>
      <c r="B67" s="45" t="s">
        <v>387</v>
      </c>
      <c r="C67" s="46"/>
      <c r="D67" s="24"/>
      <c r="E67" s="24"/>
      <c r="F67" s="39">
        <f>SUM(F61:F66)</f>
        <v>0</v>
      </c>
      <c r="G67" s="39">
        <f t="shared" ref="G67:H67" si="9">SUM(G61:G66)</f>
        <v>0</v>
      </c>
      <c r="H67" s="39">
        <f t="shared" si="9"/>
        <v>0</v>
      </c>
      <c r="I67" s="44"/>
      <c r="J67" s="44"/>
      <c r="K67" s="44"/>
    </row>
    <row r="68" hidden="1"/>
    <row r="69" s="5" customFormat="1" ht="14.25" hidden="1" spans="1:11">
      <c r="A69" s="5" t="s">
        <v>415</v>
      </c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hidden="1"/>
    <row r="71" ht="72" hidden="1" spans="1:8">
      <c r="A71" s="25" t="s">
        <v>389</v>
      </c>
      <c r="B71" s="27" t="s">
        <v>416</v>
      </c>
      <c r="C71" s="29"/>
      <c r="D71" s="18" t="s">
        <v>417</v>
      </c>
      <c r="E71" s="18" t="s">
        <v>418</v>
      </c>
      <c r="F71" s="18" t="s">
        <v>419</v>
      </c>
      <c r="G71" s="18" t="s">
        <v>420</v>
      </c>
      <c r="H71" s="18" t="s">
        <v>421</v>
      </c>
    </row>
    <row r="72" hidden="1" spans="1:8">
      <c r="A72" s="19">
        <v>1</v>
      </c>
      <c r="B72" s="30">
        <v>2</v>
      </c>
      <c r="C72" s="32"/>
      <c r="D72" s="19">
        <v>3</v>
      </c>
      <c r="E72" s="19">
        <v>4</v>
      </c>
      <c r="F72" s="19">
        <v>5</v>
      </c>
      <c r="G72" s="19">
        <v>6</v>
      </c>
      <c r="H72" s="19">
        <v>7</v>
      </c>
    </row>
    <row r="73" hidden="1" spans="1:8">
      <c r="A73" s="20">
        <v>1</v>
      </c>
      <c r="B73" s="47" t="s">
        <v>422</v>
      </c>
      <c r="C73" s="48"/>
      <c r="D73" s="21"/>
      <c r="E73" s="49">
        <v>0.015</v>
      </c>
      <c r="F73" s="36">
        <f>ROUND(D73*E73,0)</f>
        <v>0</v>
      </c>
      <c r="G73" s="36">
        <f>F73</f>
        <v>0</v>
      </c>
      <c r="H73" s="36">
        <f>G73</f>
        <v>0</v>
      </c>
    </row>
    <row r="74" hidden="1" spans="1:8">
      <c r="A74" s="20">
        <v>2</v>
      </c>
      <c r="B74" s="47" t="s">
        <v>422</v>
      </c>
      <c r="C74" s="48"/>
      <c r="D74" s="21"/>
      <c r="E74" s="49">
        <v>0.015</v>
      </c>
      <c r="F74" s="36">
        <f t="shared" ref="F74:F77" si="10">ROUND(D74*E74,0)</f>
        <v>0</v>
      </c>
      <c r="G74" s="36">
        <f t="shared" ref="G74:H76" si="11">F74</f>
        <v>0</v>
      </c>
      <c r="H74" s="36">
        <f t="shared" si="11"/>
        <v>0</v>
      </c>
    </row>
    <row r="75" hidden="1" spans="1:8">
      <c r="A75" s="20">
        <v>3</v>
      </c>
      <c r="B75" s="47" t="s">
        <v>422</v>
      </c>
      <c r="C75" s="48"/>
      <c r="D75" s="21"/>
      <c r="E75" s="49">
        <v>0.015</v>
      </c>
      <c r="F75" s="36">
        <f t="shared" si="10"/>
        <v>0</v>
      </c>
      <c r="G75" s="36">
        <f t="shared" si="11"/>
        <v>0</v>
      </c>
      <c r="H75" s="36">
        <f t="shared" si="11"/>
        <v>0</v>
      </c>
    </row>
    <row r="76" hidden="1" spans="1:8">
      <c r="A76" s="20">
        <v>4</v>
      </c>
      <c r="B76" s="47" t="s">
        <v>422</v>
      </c>
      <c r="C76" s="48"/>
      <c r="D76" s="21"/>
      <c r="E76" s="49">
        <v>0.015</v>
      </c>
      <c r="F76" s="36">
        <f t="shared" si="10"/>
        <v>0</v>
      </c>
      <c r="G76" s="36">
        <f t="shared" si="11"/>
        <v>0</v>
      </c>
      <c r="H76" s="36">
        <f t="shared" si="11"/>
        <v>0</v>
      </c>
    </row>
    <row r="77" hidden="1" spans="1:8">
      <c r="A77" s="20">
        <v>5</v>
      </c>
      <c r="B77" s="47" t="s">
        <v>423</v>
      </c>
      <c r="C77" s="48"/>
      <c r="D77" s="21"/>
      <c r="E77" s="49">
        <v>0.022</v>
      </c>
      <c r="F77" s="36">
        <f t="shared" si="10"/>
        <v>0</v>
      </c>
      <c r="G77" s="36">
        <f>F77</f>
        <v>0</v>
      </c>
      <c r="H77" s="36">
        <f>G77</f>
        <v>0</v>
      </c>
    </row>
    <row r="78" hidden="1" spans="1:8">
      <c r="A78" s="20"/>
      <c r="B78" s="30"/>
      <c r="C78" s="32"/>
      <c r="D78" s="21"/>
      <c r="E78" s="21"/>
      <c r="F78" s="36"/>
      <c r="G78" s="36"/>
      <c r="H78" s="36"/>
    </row>
    <row r="79" s="4" customFormat="1" ht="14.25" hidden="1" spans="1:11">
      <c r="A79" s="23"/>
      <c r="B79" s="45" t="s">
        <v>387</v>
      </c>
      <c r="C79" s="46"/>
      <c r="D79" s="24"/>
      <c r="E79" s="24"/>
      <c r="F79" s="39">
        <f>SUM(F73:F78)</f>
        <v>0</v>
      </c>
      <c r="G79" s="39">
        <f>SUM(G73:G78)</f>
        <v>0</v>
      </c>
      <c r="H79" s="39">
        <f>SUM(H73:H78)</f>
        <v>0</v>
      </c>
      <c r="I79" s="44"/>
      <c r="J79" s="44"/>
      <c r="K79" s="44"/>
    </row>
    <row r="80" hidden="1"/>
    <row r="81" hidden="1" spans="1:8">
      <c r="A81" s="50" t="s">
        <v>424</v>
      </c>
      <c r="B81" s="50"/>
      <c r="C81" s="50"/>
      <c r="D81" s="50"/>
      <c r="E81" s="50"/>
      <c r="F81" s="50"/>
      <c r="G81" s="50"/>
      <c r="H81" s="50"/>
    </row>
    <row r="82" hidden="1"/>
    <row r="83" ht="36" hidden="1" spans="1:8">
      <c r="A83" s="25" t="s">
        <v>389</v>
      </c>
      <c r="B83" s="27" t="s">
        <v>24</v>
      </c>
      <c r="C83" s="29"/>
      <c r="D83" s="18" t="s">
        <v>425</v>
      </c>
      <c r="E83" s="18" t="s">
        <v>409</v>
      </c>
      <c r="F83" s="18" t="s">
        <v>426</v>
      </c>
      <c r="G83" s="18" t="s">
        <v>426</v>
      </c>
      <c r="H83" s="18" t="s">
        <v>426</v>
      </c>
    </row>
    <row r="84" hidden="1" spans="1:8">
      <c r="A84" s="19">
        <v>1</v>
      </c>
      <c r="B84" s="30">
        <v>2</v>
      </c>
      <c r="C84" s="32"/>
      <c r="D84" s="19">
        <v>3</v>
      </c>
      <c r="E84" s="19">
        <v>4</v>
      </c>
      <c r="F84" s="19">
        <v>5</v>
      </c>
      <c r="G84" s="19">
        <v>6</v>
      </c>
      <c r="H84" s="19">
        <v>7</v>
      </c>
    </row>
    <row r="85" hidden="1" spans="1:8">
      <c r="A85" s="20"/>
      <c r="B85" s="30"/>
      <c r="C85" s="32"/>
      <c r="D85" s="21"/>
      <c r="E85" s="21"/>
      <c r="F85" s="21"/>
      <c r="G85" s="21"/>
      <c r="H85" s="21"/>
    </row>
    <row r="86" hidden="1" spans="1:8">
      <c r="A86" s="20"/>
      <c r="B86" s="30"/>
      <c r="C86" s="32"/>
      <c r="D86" s="21"/>
      <c r="E86" s="21"/>
      <c r="F86" s="21"/>
      <c r="G86" s="21"/>
      <c r="H86" s="21"/>
    </row>
    <row r="87" hidden="1" spans="1:8">
      <c r="A87" s="20"/>
      <c r="B87" s="30"/>
      <c r="C87" s="32"/>
      <c r="D87" s="21"/>
      <c r="E87" s="21"/>
      <c r="F87" s="21"/>
      <c r="G87" s="21"/>
      <c r="H87" s="21"/>
    </row>
    <row r="88" hidden="1" spans="1:8">
      <c r="A88" s="20"/>
      <c r="B88" s="30"/>
      <c r="C88" s="32"/>
      <c r="D88" s="21"/>
      <c r="E88" s="21"/>
      <c r="F88" s="21"/>
      <c r="G88" s="21"/>
      <c r="H88" s="21"/>
    </row>
    <row r="89" hidden="1" spans="1:8">
      <c r="A89" s="20"/>
      <c r="B89" s="30"/>
      <c r="C89" s="32"/>
      <c r="D89" s="21"/>
      <c r="E89" s="21"/>
      <c r="F89" s="21"/>
      <c r="G89" s="21"/>
      <c r="H89" s="21"/>
    </row>
    <row r="90" hidden="1" spans="1:8">
      <c r="A90" s="20"/>
      <c r="B90" s="30"/>
      <c r="C90" s="32"/>
      <c r="D90" s="21"/>
      <c r="E90" s="21"/>
      <c r="F90" s="21"/>
      <c r="G90" s="21"/>
      <c r="H90" s="21"/>
    </row>
    <row r="91" hidden="1" spans="1:8">
      <c r="A91" s="20"/>
      <c r="B91" s="30" t="s">
        <v>387</v>
      </c>
      <c r="C91" s="32"/>
      <c r="D91" s="21"/>
      <c r="E91" s="21"/>
      <c r="F91" s="21"/>
      <c r="G91" s="21"/>
      <c r="H91" s="21"/>
    </row>
    <row r="92" hidden="1"/>
    <row r="93" s="5" customFormat="1" ht="14.25" hidden="1" spans="1:11">
      <c r="A93" s="5" t="s">
        <v>427</v>
      </c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="5" customFormat="1" ht="14.25" hidden="1" spans="1:11">
      <c r="A94" s="5" t="s">
        <v>428</v>
      </c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hidden="1"/>
    <row r="96" ht="24" hidden="1" spans="1:9">
      <c r="A96" s="25" t="s">
        <v>389</v>
      </c>
      <c r="B96" s="27" t="s">
        <v>560</v>
      </c>
      <c r="C96" s="29"/>
      <c r="D96" s="18" t="s">
        <v>429</v>
      </c>
      <c r="E96" s="18" t="s">
        <v>430</v>
      </c>
      <c r="F96" s="18" t="s">
        <v>431</v>
      </c>
      <c r="G96" s="18" t="s">
        <v>410</v>
      </c>
      <c r="H96" s="18" t="s">
        <v>411</v>
      </c>
      <c r="I96" s="18" t="s">
        <v>412</v>
      </c>
    </row>
    <row r="97" hidden="1" spans="1:9">
      <c r="A97" s="19">
        <v>1</v>
      </c>
      <c r="B97" s="30">
        <v>2</v>
      </c>
      <c r="C97" s="32"/>
      <c r="D97" s="19">
        <v>3</v>
      </c>
      <c r="E97" s="19">
        <v>4</v>
      </c>
      <c r="F97" s="19">
        <v>5</v>
      </c>
      <c r="G97" s="19">
        <v>6</v>
      </c>
      <c r="H97" s="19">
        <v>7</v>
      </c>
      <c r="I97" s="19">
        <v>8</v>
      </c>
    </row>
    <row r="98" hidden="1" spans="1:9">
      <c r="A98" s="20"/>
      <c r="B98" s="47" t="s">
        <v>561</v>
      </c>
      <c r="C98" s="48"/>
      <c r="D98" s="21"/>
      <c r="E98" s="21"/>
      <c r="F98" s="21"/>
      <c r="G98" s="36"/>
      <c r="H98" s="36"/>
      <c r="I98" s="36"/>
    </row>
    <row r="99" hidden="1" spans="1:9">
      <c r="A99" s="20"/>
      <c r="B99" s="47" t="s">
        <v>434</v>
      </c>
      <c r="C99" s="48"/>
      <c r="D99" s="21"/>
      <c r="E99" s="21">
        <v>12</v>
      </c>
      <c r="F99" s="21">
        <v>247.8</v>
      </c>
      <c r="G99" s="36">
        <f>D99*E99*F99</f>
        <v>0</v>
      </c>
      <c r="H99" s="36"/>
      <c r="I99" s="36"/>
    </row>
    <row r="100" hidden="1" spans="1:9">
      <c r="A100" s="20"/>
      <c r="B100" s="47" t="s">
        <v>435</v>
      </c>
      <c r="C100" s="48"/>
      <c r="D100" s="21"/>
      <c r="E100" s="21">
        <v>12</v>
      </c>
      <c r="F100" s="21">
        <v>0.61</v>
      </c>
      <c r="G100" s="36">
        <f t="shared" ref="G100:G101" si="12">D100*E100*F100</f>
        <v>0</v>
      </c>
      <c r="H100" s="36"/>
      <c r="I100" s="36"/>
    </row>
    <row r="101" hidden="1" spans="1:9">
      <c r="A101" s="20"/>
      <c r="B101" s="47" t="s">
        <v>436</v>
      </c>
      <c r="C101" s="48"/>
      <c r="D101" s="21"/>
      <c r="E101" s="21">
        <v>12</v>
      </c>
      <c r="F101" s="21">
        <v>2341.43</v>
      </c>
      <c r="G101" s="36">
        <f t="shared" si="12"/>
        <v>0</v>
      </c>
      <c r="H101" s="36"/>
      <c r="I101" s="36"/>
    </row>
    <row r="102" hidden="1" spans="1:9">
      <c r="A102" s="20"/>
      <c r="B102" s="30"/>
      <c r="C102" s="32"/>
      <c r="D102" s="21"/>
      <c r="E102" s="21"/>
      <c r="F102" s="21"/>
      <c r="G102" s="36"/>
      <c r="H102" s="36"/>
      <c r="I102" s="36"/>
    </row>
    <row r="103" hidden="1" spans="1:9">
      <c r="A103" s="20"/>
      <c r="B103" s="30"/>
      <c r="C103" s="32"/>
      <c r="D103" s="21"/>
      <c r="E103" s="21"/>
      <c r="F103" s="21"/>
      <c r="G103" s="36"/>
      <c r="H103" s="36"/>
      <c r="I103" s="36"/>
    </row>
    <row r="104" s="4" customFormat="1" ht="14.25" hidden="1" spans="1:11">
      <c r="A104" s="23"/>
      <c r="B104" s="45" t="s">
        <v>387</v>
      </c>
      <c r="C104" s="46"/>
      <c r="D104" s="24"/>
      <c r="E104" s="24"/>
      <c r="F104" s="24"/>
      <c r="G104" s="39">
        <f>ROUND(SUM(G98:G103),0)</f>
        <v>0</v>
      </c>
      <c r="H104" s="39">
        <f t="shared" ref="H104:I104" si="13">SUM(H98:H103)</f>
        <v>0</v>
      </c>
      <c r="I104" s="39">
        <f t="shared" si="13"/>
        <v>0</v>
      </c>
      <c r="J104" s="44"/>
      <c r="K104" s="44"/>
    </row>
    <row r="105" hidden="1"/>
    <row r="106" s="5" customFormat="1" ht="14.25" hidden="1" spans="1:11">
      <c r="A106" s="5" t="s">
        <v>437</v>
      </c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hidden="1"/>
    <row r="108" ht="36" hidden="1" spans="1:8">
      <c r="A108" s="25" t="s">
        <v>389</v>
      </c>
      <c r="B108" s="27" t="s">
        <v>416</v>
      </c>
      <c r="C108" s="29"/>
      <c r="D108" s="18" t="s">
        <v>438</v>
      </c>
      <c r="E108" s="18" t="s">
        <v>439</v>
      </c>
      <c r="F108" s="18" t="s">
        <v>410</v>
      </c>
      <c r="G108" s="18" t="s">
        <v>411</v>
      </c>
      <c r="H108" s="18" t="s">
        <v>412</v>
      </c>
    </row>
    <row r="109" hidden="1" spans="1:8">
      <c r="A109" s="19">
        <v>1</v>
      </c>
      <c r="B109" s="30">
        <v>2</v>
      </c>
      <c r="C109" s="32"/>
      <c r="D109" s="19">
        <v>3</v>
      </c>
      <c r="E109" s="19">
        <v>4</v>
      </c>
      <c r="F109" s="19">
        <v>5</v>
      </c>
      <c r="G109" s="19">
        <v>6</v>
      </c>
      <c r="H109" s="19">
        <v>7</v>
      </c>
    </row>
    <row r="110" hidden="1" spans="1:8">
      <c r="A110" s="20">
        <v>1</v>
      </c>
      <c r="B110" s="30" t="s">
        <v>440</v>
      </c>
      <c r="C110" s="32"/>
      <c r="D110" s="21"/>
      <c r="E110" s="21"/>
      <c r="F110" s="21">
        <f>D110*E110</f>
        <v>0</v>
      </c>
      <c r="G110" s="21"/>
      <c r="H110" s="21"/>
    </row>
    <row r="111" hidden="1" spans="1:8">
      <c r="A111" s="20"/>
      <c r="B111" s="30"/>
      <c r="C111" s="32"/>
      <c r="D111" s="21"/>
      <c r="E111" s="21"/>
      <c r="F111" s="21">
        <f t="shared" ref="F111:F115" si="14">D111*E111</f>
        <v>0</v>
      </c>
      <c r="G111" s="21"/>
      <c r="H111" s="21"/>
    </row>
    <row r="112" hidden="1" spans="1:8">
      <c r="A112" s="20"/>
      <c r="B112" s="30"/>
      <c r="C112" s="32"/>
      <c r="D112" s="21"/>
      <c r="E112" s="21"/>
      <c r="F112" s="21">
        <f t="shared" si="14"/>
        <v>0</v>
      </c>
      <c r="G112" s="21"/>
      <c r="H112" s="21"/>
    </row>
    <row r="113" hidden="1" spans="1:8">
      <c r="A113" s="20"/>
      <c r="B113" s="30"/>
      <c r="C113" s="32"/>
      <c r="D113" s="21"/>
      <c r="E113" s="21"/>
      <c r="F113" s="21">
        <f t="shared" si="14"/>
        <v>0</v>
      </c>
      <c r="G113" s="21"/>
      <c r="H113" s="21"/>
    </row>
    <row r="114" hidden="1" spans="1:8">
      <c r="A114" s="20"/>
      <c r="B114" s="30"/>
      <c r="C114" s="32"/>
      <c r="D114" s="21"/>
      <c r="E114" s="21"/>
      <c r="F114" s="21">
        <f t="shared" si="14"/>
        <v>0</v>
      </c>
      <c r="G114" s="21"/>
      <c r="H114" s="21"/>
    </row>
    <row r="115" hidden="1" spans="1:8">
      <c r="A115" s="20"/>
      <c r="B115" s="30"/>
      <c r="C115" s="32"/>
      <c r="D115" s="21"/>
      <c r="E115" s="21"/>
      <c r="F115" s="21">
        <f t="shared" si="14"/>
        <v>0</v>
      </c>
      <c r="G115" s="21"/>
      <c r="H115" s="21"/>
    </row>
    <row r="116" s="4" customFormat="1" ht="14.25" hidden="1" spans="1:11">
      <c r="A116" s="23"/>
      <c r="B116" s="45" t="s">
        <v>387</v>
      </c>
      <c r="C116" s="46"/>
      <c r="D116" s="24"/>
      <c r="E116" s="24"/>
      <c r="F116" s="24">
        <f>SUM(F110:F115)</f>
        <v>0</v>
      </c>
      <c r="G116" s="24">
        <f t="shared" ref="G116:H116" si="15">SUM(G110:G115)</f>
        <v>0</v>
      </c>
      <c r="H116" s="24">
        <f t="shared" si="15"/>
        <v>0</v>
      </c>
      <c r="I116" s="44"/>
      <c r="J116" s="44"/>
      <c r="K116" s="44"/>
    </row>
    <row r="117" hidden="1"/>
    <row r="118" s="5" customFormat="1" ht="14.25" hidden="1" spans="1:11">
      <c r="A118" s="5" t="s">
        <v>441</v>
      </c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hidden="1"/>
    <row r="120" ht="36" hidden="1" spans="1:9">
      <c r="A120" s="25" t="s">
        <v>389</v>
      </c>
      <c r="B120" s="27" t="s">
        <v>24</v>
      </c>
      <c r="C120" s="29"/>
      <c r="D120" s="18" t="s">
        <v>442</v>
      </c>
      <c r="E120" s="18" t="s">
        <v>443</v>
      </c>
      <c r="F120" s="18" t="s">
        <v>444</v>
      </c>
      <c r="G120" s="18" t="s">
        <v>410</v>
      </c>
      <c r="H120" s="18" t="s">
        <v>411</v>
      </c>
      <c r="I120" s="18" t="s">
        <v>412</v>
      </c>
    </row>
    <row r="121" hidden="1" spans="1:9">
      <c r="A121" s="19">
        <v>1</v>
      </c>
      <c r="B121" s="30">
        <v>2</v>
      </c>
      <c r="C121" s="32"/>
      <c r="D121" s="19">
        <v>3</v>
      </c>
      <c r="E121" s="19">
        <v>4</v>
      </c>
      <c r="F121" s="19">
        <v>5</v>
      </c>
      <c r="G121" s="19">
        <v>6</v>
      </c>
      <c r="H121" s="19">
        <v>7</v>
      </c>
      <c r="I121" s="19">
        <v>8</v>
      </c>
    </row>
    <row r="122" hidden="1" spans="1:9">
      <c r="A122" s="20"/>
      <c r="B122" s="30" t="s">
        <v>562</v>
      </c>
      <c r="C122" s="32"/>
      <c r="D122" s="21"/>
      <c r="E122" s="21"/>
      <c r="F122" s="21"/>
      <c r="G122" s="21">
        <f>D122*E122*F122</f>
        <v>0</v>
      </c>
      <c r="H122" s="21"/>
      <c r="I122" s="21"/>
    </row>
    <row r="123" hidden="1" spans="1:9">
      <c r="A123" s="20"/>
      <c r="B123" s="30"/>
      <c r="C123" s="32"/>
      <c r="D123" s="21"/>
      <c r="E123" s="21"/>
      <c r="F123" s="21"/>
      <c r="G123" s="21">
        <f t="shared" ref="G123:G127" si="16">D123*E123*F123</f>
        <v>0</v>
      </c>
      <c r="H123" s="21"/>
      <c r="I123" s="21"/>
    </row>
    <row r="124" hidden="1" spans="1:9">
      <c r="A124" s="20"/>
      <c r="B124" s="30" t="s">
        <v>562</v>
      </c>
      <c r="C124" s="32"/>
      <c r="D124" s="21"/>
      <c r="E124" s="21"/>
      <c r="F124" s="21"/>
      <c r="G124" s="21">
        <f t="shared" si="16"/>
        <v>0</v>
      </c>
      <c r="H124" s="21"/>
      <c r="I124" s="21"/>
    </row>
    <row r="125" hidden="1" spans="1:9">
      <c r="A125" s="20"/>
      <c r="B125" s="30"/>
      <c r="C125" s="32"/>
      <c r="D125" s="21"/>
      <c r="E125" s="21"/>
      <c r="F125" s="21"/>
      <c r="G125" s="21">
        <f t="shared" si="16"/>
        <v>0</v>
      </c>
      <c r="H125" s="21"/>
      <c r="I125" s="21"/>
    </row>
    <row r="126" hidden="1" spans="1:9">
      <c r="A126" s="20"/>
      <c r="B126" s="30" t="s">
        <v>562</v>
      </c>
      <c r="C126" s="32"/>
      <c r="D126" s="21"/>
      <c r="E126" s="21"/>
      <c r="F126" s="21"/>
      <c r="G126" s="21">
        <f t="shared" si="16"/>
        <v>0</v>
      </c>
      <c r="H126" s="21"/>
      <c r="I126" s="21"/>
    </row>
    <row r="127" hidden="1" spans="1:9">
      <c r="A127" s="20"/>
      <c r="B127" s="30"/>
      <c r="C127" s="32"/>
      <c r="D127" s="21"/>
      <c r="E127" s="21"/>
      <c r="F127" s="21"/>
      <c r="G127" s="21">
        <f t="shared" si="16"/>
        <v>0</v>
      </c>
      <c r="H127" s="21"/>
      <c r="I127" s="21"/>
    </row>
    <row r="128" s="4" customFormat="1" ht="14.25" hidden="1" spans="1:11">
      <c r="A128" s="23"/>
      <c r="B128" s="45" t="s">
        <v>387</v>
      </c>
      <c r="C128" s="46"/>
      <c r="D128" s="24"/>
      <c r="E128" s="24"/>
      <c r="F128" s="24"/>
      <c r="G128" s="24">
        <f>SUM(G122:G127)</f>
        <v>0</v>
      </c>
      <c r="H128" s="24">
        <f t="shared" ref="H128:I128" si="17">SUM(H122:H127)</f>
        <v>0</v>
      </c>
      <c r="I128" s="24">
        <f t="shared" si="17"/>
        <v>0</v>
      </c>
      <c r="J128" s="44"/>
      <c r="K128" s="44"/>
    </row>
    <row r="129" hidden="1"/>
    <row r="130" s="5" customFormat="1" ht="14.25" hidden="1" spans="1:11">
      <c r="A130" s="5" t="s">
        <v>461</v>
      </c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hidden="1"/>
    <row r="132" ht="48" hidden="1" spans="1:8">
      <c r="A132" s="25" t="s">
        <v>389</v>
      </c>
      <c r="B132" s="27" t="s">
        <v>24</v>
      </c>
      <c r="C132" s="29"/>
      <c r="D132" s="18" t="s">
        <v>462</v>
      </c>
      <c r="E132" s="18" t="s">
        <v>463</v>
      </c>
      <c r="F132" s="18" t="s">
        <v>464</v>
      </c>
      <c r="G132" s="18" t="s">
        <v>464</v>
      </c>
      <c r="H132" s="18" t="s">
        <v>464</v>
      </c>
    </row>
    <row r="133" hidden="1" spans="1:8">
      <c r="A133" s="19">
        <v>1</v>
      </c>
      <c r="B133" s="30">
        <v>2</v>
      </c>
      <c r="C133" s="32"/>
      <c r="D133" s="19">
        <v>3</v>
      </c>
      <c r="E133" s="19">
        <v>4</v>
      </c>
      <c r="F133" s="19">
        <v>5</v>
      </c>
      <c r="G133" s="19">
        <v>6</v>
      </c>
      <c r="H133" s="19">
        <v>7</v>
      </c>
    </row>
    <row r="134" hidden="1" spans="1:8">
      <c r="A134" s="20"/>
      <c r="B134" s="30"/>
      <c r="C134" s="32"/>
      <c r="D134" s="21"/>
      <c r="E134" s="21"/>
      <c r="F134" s="21"/>
      <c r="G134" s="21"/>
      <c r="H134" s="21"/>
    </row>
    <row r="135" hidden="1" spans="1:8">
      <c r="A135" s="20"/>
      <c r="B135" s="30"/>
      <c r="C135" s="32"/>
      <c r="D135" s="21"/>
      <c r="E135" s="21"/>
      <c r="F135" s="21"/>
      <c r="G135" s="21"/>
      <c r="H135" s="21"/>
    </row>
    <row r="136" hidden="1" spans="1:8">
      <c r="A136" s="20"/>
      <c r="B136" s="30"/>
      <c r="C136" s="32"/>
      <c r="D136" s="21"/>
      <c r="E136" s="21"/>
      <c r="F136" s="21"/>
      <c r="G136" s="21"/>
      <c r="H136" s="21"/>
    </row>
    <row r="137" hidden="1" spans="1:8">
      <c r="A137" s="20"/>
      <c r="B137" s="30"/>
      <c r="C137" s="32"/>
      <c r="D137" s="21"/>
      <c r="E137" s="21"/>
      <c r="F137" s="21"/>
      <c r="G137" s="21"/>
      <c r="H137" s="21"/>
    </row>
    <row r="138" hidden="1" spans="1:8">
      <c r="A138" s="20"/>
      <c r="B138" s="30"/>
      <c r="C138" s="32"/>
      <c r="D138" s="21"/>
      <c r="E138" s="21"/>
      <c r="F138" s="21"/>
      <c r="G138" s="21"/>
      <c r="H138" s="21"/>
    </row>
    <row r="139" hidden="1" spans="1:8">
      <c r="A139" s="20"/>
      <c r="B139" s="30"/>
      <c r="C139" s="32"/>
      <c r="D139" s="21"/>
      <c r="E139" s="21"/>
      <c r="F139" s="21"/>
      <c r="G139" s="21"/>
      <c r="H139" s="21"/>
    </row>
    <row r="140" s="4" customFormat="1" ht="14.25" hidden="1" spans="1:11">
      <c r="A140" s="23"/>
      <c r="B140" s="45" t="s">
        <v>387</v>
      </c>
      <c r="C140" s="46"/>
      <c r="D140" s="24"/>
      <c r="E140" s="24"/>
      <c r="F140" s="24">
        <f>SUM(F134:F139)</f>
        <v>0</v>
      </c>
      <c r="G140" s="24">
        <f t="shared" ref="G140:H140" si="18">SUM(G134:G139)</f>
        <v>0</v>
      </c>
      <c r="H140" s="24">
        <f t="shared" si="18"/>
        <v>0</v>
      </c>
      <c r="I140" s="44"/>
      <c r="J140" s="44"/>
      <c r="K140" s="44"/>
    </row>
    <row r="141" hidden="1"/>
    <row r="142" s="5" customFormat="1" ht="14.25" hidden="1" spans="1:11">
      <c r="A142" s="5" t="s">
        <v>465</v>
      </c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hidden="1"/>
    <row r="144" ht="24" hidden="1" spans="1:8">
      <c r="A144" s="25" t="s">
        <v>389</v>
      </c>
      <c r="B144" s="27" t="s">
        <v>24</v>
      </c>
      <c r="C144" s="29"/>
      <c r="D144" s="18" t="s">
        <v>466</v>
      </c>
      <c r="E144" s="18" t="s">
        <v>467</v>
      </c>
      <c r="F144" s="18" t="s">
        <v>410</v>
      </c>
      <c r="G144" s="18" t="s">
        <v>411</v>
      </c>
      <c r="H144" s="18" t="s">
        <v>412</v>
      </c>
    </row>
    <row r="145" hidden="1" spans="1:8">
      <c r="A145" s="19">
        <v>1</v>
      </c>
      <c r="B145" s="30">
        <v>2</v>
      </c>
      <c r="C145" s="32"/>
      <c r="D145" s="19">
        <v>3</v>
      </c>
      <c r="E145" s="19">
        <v>4</v>
      </c>
      <c r="F145" s="19">
        <v>5</v>
      </c>
      <c r="G145" s="19">
        <v>6</v>
      </c>
      <c r="H145" s="19">
        <v>7</v>
      </c>
    </row>
    <row r="146" hidden="1" spans="1:8">
      <c r="A146" s="20">
        <v>1</v>
      </c>
      <c r="B146" s="30" t="s">
        <v>563</v>
      </c>
      <c r="C146" s="32"/>
      <c r="D146" s="21"/>
      <c r="E146" s="21">
        <v>2460</v>
      </c>
      <c r="F146" s="21">
        <f>E146*D146</f>
        <v>0</v>
      </c>
      <c r="G146" s="21"/>
      <c r="H146" s="21"/>
    </row>
    <row r="147" hidden="1" spans="1:8">
      <c r="A147" s="20"/>
      <c r="B147" s="30" t="s">
        <v>564</v>
      </c>
      <c r="C147" s="32"/>
      <c r="D147" s="21"/>
      <c r="E147" s="21"/>
      <c r="F147" s="21">
        <f t="shared" ref="F147:F163" si="19">E147*D147</f>
        <v>0</v>
      </c>
      <c r="G147" s="21"/>
      <c r="H147" s="21"/>
    </row>
    <row r="148" hidden="1" spans="1:8">
      <c r="A148" s="20"/>
      <c r="B148" s="30"/>
      <c r="C148" s="32"/>
      <c r="D148" s="21"/>
      <c r="E148" s="21"/>
      <c r="F148" s="21">
        <f t="shared" si="19"/>
        <v>0</v>
      </c>
      <c r="G148" s="21"/>
      <c r="H148" s="21"/>
    </row>
    <row r="149" hidden="1" spans="1:8">
      <c r="A149" s="20"/>
      <c r="B149" s="30"/>
      <c r="C149" s="32"/>
      <c r="D149" s="21"/>
      <c r="E149" s="21"/>
      <c r="F149" s="21">
        <f t="shared" si="19"/>
        <v>0</v>
      </c>
      <c r="G149" s="21"/>
      <c r="H149" s="21"/>
    </row>
    <row r="150" hidden="1" spans="1:8">
      <c r="A150" s="20"/>
      <c r="B150" s="30"/>
      <c r="C150" s="32"/>
      <c r="D150" s="21"/>
      <c r="E150" s="21"/>
      <c r="F150" s="21">
        <f t="shared" si="19"/>
        <v>0</v>
      </c>
      <c r="G150" s="21"/>
      <c r="H150" s="21"/>
    </row>
    <row r="151" hidden="1" spans="1:8">
      <c r="A151" s="20"/>
      <c r="B151" s="30"/>
      <c r="C151" s="32"/>
      <c r="D151" s="21"/>
      <c r="E151" s="21"/>
      <c r="F151" s="21">
        <f t="shared" si="19"/>
        <v>0</v>
      </c>
      <c r="G151" s="21"/>
      <c r="H151" s="21"/>
    </row>
    <row r="152" hidden="1" spans="1:8">
      <c r="A152" s="20"/>
      <c r="B152" s="30"/>
      <c r="C152" s="32"/>
      <c r="D152" s="21"/>
      <c r="E152" s="21"/>
      <c r="F152" s="21">
        <f t="shared" si="19"/>
        <v>0</v>
      </c>
      <c r="G152" s="21"/>
      <c r="H152" s="21"/>
    </row>
    <row r="153" hidden="1" spans="1:8">
      <c r="A153" s="20"/>
      <c r="B153" s="30"/>
      <c r="C153" s="32"/>
      <c r="D153" s="21"/>
      <c r="E153" s="21"/>
      <c r="F153" s="21">
        <f t="shared" si="19"/>
        <v>0</v>
      </c>
      <c r="G153" s="21"/>
      <c r="H153" s="21"/>
    </row>
    <row r="154" hidden="1" spans="1:8">
      <c r="A154" s="20"/>
      <c r="B154" s="30"/>
      <c r="C154" s="32"/>
      <c r="D154" s="21"/>
      <c r="E154" s="21"/>
      <c r="F154" s="21">
        <f t="shared" si="19"/>
        <v>0</v>
      </c>
      <c r="G154" s="21"/>
      <c r="H154" s="21"/>
    </row>
    <row r="155" hidden="1" spans="1:8">
      <c r="A155" s="20"/>
      <c r="B155" s="30"/>
      <c r="C155" s="32"/>
      <c r="D155" s="21"/>
      <c r="E155" s="21"/>
      <c r="F155" s="21">
        <f t="shared" si="19"/>
        <v>0</v>
      </c>
      <c r="G155" s="21"/>
      <c r="H155" s="21"/>
    </row>
    <row r="156" hidden="1" spans="1:8">
      <c r="A156" s="20"/>
      <c r="B156" s="30"/>
      <c r="C156" s="32"/>
      <c r="D156" s="21"/>
      <c r="E156" s="21"/>
      <c r="F156" s="21">
        <f t="shared" si="19"/>
        <v>0</v>
      </c>
      <c r="G156" s="21"/>
      <c r="H156" s="21"/>
    </row>
    <row r="157" hidden="1" spans="1:8">
      <c r="A157" s="20"/>
      <c r="B157" s="30"/>
      <c r="C157" s="32"/>
      <c r="D157" s="21"/>
      <c r="E157" s="21"/>
      <c r="F157" s="21">
        <f t="shared" si="19"/>
        <v>0</v>
      </c>
      <c r="G157" s="21"/>
      <c r="H157" s="21"/>
    </row>
    <row r="158" hidden="1" spans="1:8">
      <c r="A158" s="20"/>
      <c r="B158" s="30"/>
      <c r="C158" s="32"/>
      <c r="D158" s="21"/>
      <c r="E158" s="21"/>
      <c r="F158" s="21">
        <f t="shared" si="19"/>
        <v>0</v>
      </c>
      <c r="G158" s="21"/>
      <c r="H158" s="21"/>
    </row>
    <row r="159" hidden="1" spans="1:8">
      <c r="A159" s="20"/>
      <c r="B159" s="30"/>
      <c r="C159" s="32"/>
      <c r="D159" s="21"/>
      <c r="E159" s="21"/>
      <c r="F159" s="21">
        <f t="shared" si="19"/>
        <v>0</v>
      </c>
      <c r="G159" s="21"/>
      <c r="H159" s="21"/>
    </row>
    <row r="160" hidden="1" spans="1:8">
      <c r="A160" s="20"/>
      <c r="B160" s="30"/>
      <c r="C160" s="32"/>
      <c r="D160" s="21"/>
      <c r="E160" s="21"/>
      <c r="F160" s="21">
        <f t="shared" si="19"/>
        <v>0</v>
      </c>
      <c r="G160" s="21"/>
      <c r="H160" s="21"/>
    </row>
    <row r="161" hidden="1" spans="1:8">
      <c r="A161" s="20"/>
      <c r="B161" s="30"/>
      <c r="C161" s="32"/>
      <c r="D161" s="21"/>
      <c r="E161" s="21"/>
      <c r="F161" s="21">
        <f t="shared" si="19"/>
        <v>0</v>
      </c>
      <c r="G161" s="21"/>
      <c r="H161" s="21"/>
    </row>
    <row r="162" hidden="1" spans="1:8">
      <c r="A162" s="20"/>
      <c r="B162" s="30"/>
      <c r="C162" s="32"/>
      <c r="D162" s="21"/>
      <c r="E162" s="21"/>
      <c r="F162" s="21">
        <f t="shared" si="19"/>
        <v>0</v>
      </c>
      <c r="G162" s="21"/>
      <c r="H162" s="21"/>
    </row>
    <row r="163" hidden="1" spans="1:8">
      <c r="A163" s="20"/>
      <c r="B163" s="30"/>
      <c r="C163" s="32"/>
      <c r="D163" s="21"/>
      <c r="E163" s="21"/>
      <c r="F163" s="21">
        <f t="shared" si="19"/>
        <v>0</v>
      </c>
      <c r="G163" s="21"/>
      <c r="H163" s="21"/>
    </row>
    <row r="164" s="4" customFormat="1" ht="14.25" hidden="1" spans="1:11">
      <c r="A164" s="23"/>
      <c r="B164" s="45" t="s">
        <v>387</v>
      </c>
      <c r="C164" s="46"/>
      <c r="D164" s="24"/>
      <c r="E164" s="24"/>
      <c r="F164" s="24">
        <f>SUM(F146:F163)</f>
        <v>0</v>
      </c>
      <c r="G164" s="24">
        <f t="shared" ref="G164:H164" si="20">SUM(G146:G163)</f>
        <v>0</v>
      </c>
      <c r="H164" s="24">
        <f t="shared" si="20"/>
        <v>0</v>
      </c>
      <c r="I164" s="44"/>
      <c r="J164" s="44"/>
      <c r="K164" s="44"/>
    </row>
    <row r="165" hidden="1"/>
    <row r="166" s="5" customFormat="1" ht="14.25" hidden="1" spans="1:11">
      <c r="A166" s="5" t="s">
        <v>502</v>
      </c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hidden="1"/>
    <row r="168" ht="24" hidden="1" spans="1:8">
      <c r="A168" s="25" t="s">
        <v>389</v>
      </c>
      <c r="B168" s="27" t="s">
        <v>416</v>
      </c>
      <c r="C168" s="29"/>
      <c r="D168" s="18" t="s">
        <v>466</v>
      </c>
      <c r="E168" s="18" t="s">
        <v>467</v>
      </c>
      <c r="F168" s="18" t="s">
        <v>410</v>
      </c>
      <c r="G168" s="18" t="s">
        <v>411</v>
      </c>
      <c r="H168" s="18" t="s">
        <v>412</v>
      </c>
    </row>
    <row r="169" hidden="1" spans="1:8">
      <c r="A169" s="19">
        <v>1</v>
      </c>
      <c r="B169" s="30">
        <v>2</v>
      </c>
      <c r="C169" s="32"/>
      <c r="D169" s="19">
        <v>3</v>
      </c>
      <c r="E169" s="19">
        <v>4</v>
      </c>
      <c r="F169" s="19">
        <v>5</v>
      </c>
      <c r="G169" s="19">
        <v>6</v>
      </c>
      <c r="H169" s="19">
        <v>7</v>
      </c>
    </row>
    <row r="170" hidden="1" spans="1:8">
      <c r="A170" s="20">
        <v>1</v>
      </c>
      <c r="B170" s="30" t="s">
        <v>565</v>
      </c>
      <c r="C170" s="32"/>
      <c r="D170" s="21"/>
      <c r="E170" s="21"/>
      <c r="F170" s="21">
        <f>E170*D170</f>
        <v>0</v>
      </c>
      <c r="G170" s="21"/>
      <c r="H170" s="21"/>
    </row>
    <row r="171" hidden="1" spans="1:8">
      <c r="A171" s="20"/>
      <c r="B171" s="30" t="s">
        <v>566</v>
      </c>
      <c r="C171" s="32"/>
      <c r="D171" s="21"/>
      <c r="E171" s="21"/>
      <c r="F171" s="21">
        <f t="shared" ref="F171:F189" si="21">E171*D171</f>
        <v>0</v>
      </c>
      <c r="G171" s="21"/>
      <c r="H171" s="21"/>
    </row>
    <row r="172" hidden="1" spans="1:8">
      <c r="A172" s="20"/>
      <c r="B172" s="30" t="s">
        <v>567</v>
      </c>
      <c r="C172" s="32"/>
      <c r="D172" s="21"/>
      <c r="E172" s="21">
        <v>14400</v>
      </c>
      <c r="F172" s="21">
        <f t="shared" si="21"/>
        <v>0</v>
      </c>
      <c r="G172" s="21"/>
      <c r="H172" s="21"/>
    </row>
    <row r="173" hidden="1" spans="1:8">
      <c r="A173" s="20"/>
      <c r="B173" s="30"/>
      <c r="C173" s="32"/>
      <c r="D173" s="21"/>
      <c r="E173" s="21"/>
      <c r="F173" s="21">
        <f t="shared" si="21"/>
        <v>0</v>
      </c>
      <c r="G173" s="21"/>
      <c r="H173" s="21"/>
    </row>
    <row r="174" hidden="1" spans="1:8">
      <c r="A174" s="20"/>
      <c r="B174" s="30"/>
      <c r="C174" s="32"/>
      <c r="D174" s="21"/>
      <c r="E174" s="21"/>
      <c r="F174" s="21">
        <f t="shared" si="21"/>
        <v>0</v>
      </c>
      <c r="G174" s="21"/>
      <c r="H174" s="21"/>
    </row>
    <row r="175" hidden="1" spans="1:8">
      <c r="A175" s="20"/>
      <c r="B175" s="30"/>
      <c r="C175" s="32"/>
      <c r="D175" s="21"/>
      <c r="E175" s="21"/>
      <c r="F175" s="21">
        <f t="shared" si="21"/>
        <v>0</v>
      </c>
      <c r="G175" s="21"/>
      <c r="H175" s="21"/>
    </row>
    <row r="176" hidden="1" spans="1:8">
      <c r="A176" s="20"/>
      <c r="B176" s="30"/>
      <c r="C176" s="32"/>
      <c r="D176" s="21"/>
      <c r="E176" s="21"/>
      <c r="F176" s="21">
        <f t="shared" si="21"/>
        <v>0</v>
      </c>
      <c r="G176" s="21"/>
      <c r="H176" s="21"/>
    </row>
    <row r="177" hidden="1" spans="1:8">
      <c r="A177" s="20"/>
      <c r="B177" s="30"/>
      <c r="C177" s="32"/>
      <c r="D177" s="21"/>
      <c r="E177" s="21"/>
      <c r="F177" s="21">
        <f t="shared" si="21"/>
        <v>0</v>
      </c>
      <c r="G177" s="21"/>
      <c r="H177" s="21"/>
    </row>
    <row r="178" hidden="1" spans="1:8">
      <c r="A178" s="20"/>
      <c r="B178" s="30"/>
      <c r="C178" s="32"/>
      <c r="D178" s="21"/>
      <c r="E178" s="21"/>
      <c r="F178" s="21">
        <f t="shared" si="21"/>
        <v>0</v>
      </c>
      <c r="G178" s="21"/>
      <c r="H178" s="21"/>
    </row>
    <row r="179" hidden="1" spans="1:8">
      <c r="A179" s="20"/>
      <c r="B179" s="30"/>
      <c r="C179" s="32"/>
      <c r="D179" s="21"/>
      <c r="E179" s="21"/>
      <c r="F179" s="21">
        <f t="shared" si="21"/>
        <v>0</v>
      </c>
      <c r="G179" s="21"/>
      <c r="H179" s="21"/>
    </row>
    <row r="180" hidden="1" spans="1:8">
      <c r="A180" s="20"/>
      <c r="B180" s="30"/>
      <c r="C180" s="32"/>
      <c r="D180" s="21"/>
      <c r="E180" s="21"/>
      <c r="F180" s="21">
        <f t="shared" si="21"/>
        <v>0</v>
      </c>
      <c r="G180" s="21"/>
      <c r="H180" s="21"/>
    </row>
    <row r="181" hidden="1" spans="1:8">
      <c r="A181" s="20"/>
      <c r="B181" s="30"/>
      <c r="C181" s="32"/>
      <c r="D181" s="21"/>
      <c r="E181" s="21"/>
      <c r="F181" s="21">
        <f t="shared" si="21"/>
        <v>0</v>
      </c>
      <c r="G181" s="21"/>
      <c r="H181" s="21"/>
    </row>
    <row r="182" hidden="1" spans="1:8">
      <c r="A182" s="20"/>
      <c r="B182" s="30"/>
      <c r="C182" s="32"/>
      <c r="D182" s="21"/>
      <c r="E182" s="21"/>
      <c r="F182" s="21">
        <f t="shared" si="21"/>
        <v>0</v>
      </c>
      <c r="G182" s="21"/>
      <c r="H182" s="21"/>
    </row>
    <row r="183" hidden="1" spans="1:8">
      <c r="A183" s="20"/>
      <c r="B183" s="30"/>
      <c r="C183" s="32"/>
      <c r="D183" s="21"/>
      <c r="E183" s="21"/>
      <c r="F183" s="21">
        <f t="shared" si="21"/>
        <v>0</v>
      </c>
      <c r="G183" s="21"/>
      <c r="H183" s="21"/>
    </row>
    <row r="184" hidden="1" spans="1:8">
      <c r="A184" s="20"/>
      <c r="B184" s="30"/>
      <c r="C184" s="32"/>
      <c r="D184" s="21"/>
      <c r="E184" s="21"/>
      <c r="F184" s="21">
        <f t="shared" si="21"/>
        <v>0</v>
      </c>
      <c r="G184" s="21"/>
      <c r="H184" s="21"/>
    </row>
    <row r="185" hidden="1" spans="1:8">
      <c r="A185" s="20"/>
      <c r="B185" s="30"/>
      <c r="C185" s="32"/>
      <c r="D185" s="21"/>
      <c r="E185" s="21"/>
      <c r="F185" s="21">
        <f t="shared" si="21"/>
        <v>0</v>
      </c>
      <c r="G185" s="21"/>
      <c r="H185" s="21"/>
    </row>
    <row r="186" hidden="1" spans="1:8">
      <c r="A186" s="20"/>
      <c r="B186" s="30"/>
      <c r="C186" s="32"/>
      <c r="D186" s="21"/>
      <c r="E186" s="21"/>
      <c r="F186" s="21">
        <f t="shared" si="21"/>
        <v>0</v>
      </c>
      <c r="G186" s="21"/>
      <c r="H186" s="21"/>
    </row>
    <row r="187" hidden="1" spans="1:8">
      <c r="A187" s="20"/>
      <c r="B187" s="30"/>
      <c r="C187" s="32"/>
      <c r="D187" s="21"/>
      <c r="E187" s="21"/>
      <c r="F187" s="21">
        <f t="shared" si="21"/>
        <v>0</v>
      </c>
      <c r="G187" s="21"/>
      <c r="H187" s="21"/>
    </row>
    <row r="188" hidden="1" spans="1:8">
      <c r="A188" s="20"/>
      <c r="B188" s="30"/>
      <c r="C188" s="32"/>
      <c r="D188" s="21"/>
      <c r="E188" s="21"/>
      <c r="F188" s="21">
        <f t="shared" si="21"/>
        <v>0</v>
      </c>
      <c r="G188" s="21"/>
      <c r="H188" s="21"/>
    </row>
    <row r="189" hidden="1" spans="1:8">
      <c r="A189" s="20"/>
      <c r="B189" s="30"/>
      <c r="C189" s="32"/>
      <c r="D189" s="21"/>
      <c r="E189" s="21"/>
      <c r="F189" s="21">
        <f t="shared" si="21"/>
        <v>0</v>
      </c>
      <c r="G189" s="21"/>
      <c r="H189" s="21"/>
    </row>
    <row r="190" s="4" customFormat="1" ht="14.25" hidden="1" spans="1:11">
      <c r="A190" s="23"/>
      <c r="B190" s="45" t="s">
        <v>387</v>
      </c>
      <c r="C190" s="46"/>
      <c r="D190" s="24"/>
      <c r="E190" s="24"/>
      <c r="F190" s="24">
        <f>SUM(F170:F189)</f>
        <v>0</v>
      </c>
      <c r="G190" s="24">
        <f t="shared" ref="G190:H190" si="22">SUM(G170:G189)</f>
        <v>0</v>
      </c>
      <c r="H190" s="24">
        <f t="shared" si="22"/>
        <v>0</v>
      </c>
      <c r="I190" s="44"/>
      <c r="J190" s="44"/>
      <c r="K190" s="44"/>
    </row>
    <row r="191" hidden="1"/>
    <row r="192" s="5" customFormat="1" ht="14.25" hidden="1" spans="1:11">
      <c r="A192" s="5" t="s">
        <v>527</v>
      </c>
      <c r="B192" s="15"/>
      <c r="C192" s="15"/>
      <c r="D192" s="15"/>
      <c r="E192" s="15"/>
      <c r="F192" s="15"/>
      <c r="G192" s="15"/>
      <c r="H192" s="15"/>
      <c r="I192" s="15"/>
      <c r="J192" s="15"/>
      <c r="K192" s="15"/>
    </row>
    <row r="193" hidden="1"/>
    <row r="194" ht="24" hidden="1" spans="1:8">
      <c r="A194" s="25" t="s">
        <v>389</v>
      </c>
      <c r="B194" s="27" t="s">
        <v>416</v>
      </c>
      <c r="C194" s="29"/>
      <c r="D194" s="18" t="s">
        <v>462</v>
      </c>
      <c r="E194" s="18" t="s">
        <v>467</v>
      </c>
      <c r="F194" s="18" t="s">
        <v>410</v>
      </c>
      <c r="G194" s="18" t="s">
        <v>411</v>
      </c>
      <c r="H194" s="18" t="s">
        <v>412</v>
      </c>
    </row>
    <row r="195" hidden="1" spans="1:8">
      <c r="A195" s="19">
        <v>1</v>
      </c>
      <c r="B195" s="30">
        <v>2</v>
      </c>
      <c r="C195" s="32"/>
      <c r="D195" s="19">
        <v>3</v>
      </c>
      <c r="E195" s="19">
        <v>4</v>
      </c>
      <c r="F195" s="19">
        <v>5</v>
      </c>
      <c r="G195" s="19">
        <v>6</v>
      </c>
      <c r="H195" s="19">
        <v>7</v>
      </c>
    </row>
    <row r="196" hidden="1" spans="1:8">
      <c r="A196" s="20">
        <v>1</v>
      </c>
      <c r="B196" s="30" t="s">
        <v>568</v>
      </c>
      <c r="C196" s="32"/>
      <c r="D196" s="21"/>
      <c r="E196" s="21"/>
      <c r="F196" s="21">
        <f>D196*E196</f>
        <v>0</v>
      </c>
      <c r="G196" s="21"/>
      <c r="H196" s="21"/>
    </row>
    <row r="197" hidden="1" spans="1:8">
      <c r="A197" s="37"/>
      <c r="B197" s="47" t="s">
        <v>569</v>
      </c>
      <c r="C197" s="48"/>
      <c r="D197" s="21"/>
      <c r="E197" s="21">
        <v>100</v>
      </c>
      <c r="F197" s="21">
        <f t="shared" ref="F197:F217" si="23">D197*E197</f>
        <v>0</v>
      </c>
      <c r="G197" s="21"/>
      <c r="H197" s="21"/>
    </row>
    <row r="198" hidden="1" spans="1:8">
      <c r="A198" s="37"/>
      <c r="B198" s="30"/>
      <c r="C198" s="32"/>
      <c r="D198" s="21"/>
      <c r="E198" s="21"/>
      <c r="F198" s="21">
        <f t="shared" si="23"/>
        <v>0</v>
      </c>
      <c r="G198" s="21"/>
      <c r="H198" s="21"/>
    </row>
    <row r="199" hidden="1" spans="1:8">
      <c r="A199" s="37"/>
      <c r="B199" s="30"/>
      <c r="C199" s="32"/>
      <c r="D199" s="21"/>
      <c r="E199" s="21"/>
      <c r="F199" s="21">
        <f t="shared" si="23"/>
        <v>0</v>
      </c>
      <c r="G199" s="21"/>
      <c r="H199" s="21"/>
    </row>
    <row r="200" hidden="1" spans="1:8">
      <c r="A200" s="37"/>
      <c r="B200" s="30"/>
      <c r="C200" s="32"/>
      <c r="D200" s="21"/>
      <c r="E200" s="21"/>
      <c r="F200" s="21">
        <f t="shared" si="23"/>
        <v>0</v>
      </c>
      <c r="G200" s="21"/>
      <c r="H200" s="21"/>
    </row>
    <row r="201" hidden="1" spans="1:8">
      <c r="A201" s="37"/>
      <c r="B201" s="30"/>
      <c r="C201" s="32"/>
      <c r="D201" s="21"/>
      <c r="E201" s="21"/>
      <c r="F201" s="21">
        <f t="shared" si="23"/>
        <v>0</v>
      </c>
      <c r="G201" s="21"/>
      <c r="H201" s="21"/>
    </row>
    <row r="202" hidden="1" spans="1:8">
      <c r="A202" s="37"/>
      <c r="B202" s="30"/>
      <c r="C202" s="32"/>
      <c r="D202" s="21"/>
      <c r="E202" s="21"/>
      <c r="F202" s="21">
        <f t="shared" si="23"/>
        <v>0</v>
      </c>
      <c r="G202" s="21"/>
      <c r="H202" s="21"/>
    </row>
    <row r="203" hidden="1" spans="1:8">
      <c r="A203" s="37"/>
      <c r="B203" s="30"/>
      <c r="C203" s="32"/>
      <c r="D203" s="21"/>
      <c r="E203" s="21"/>
      <c r="F203" s="21">
        <f t="shared" si="23"/>
        <v>0</v>
      </c>
      <c r="G203" s="21"/>
      <c r="H203" s="21"/>
    </row>
    <row r="204" hidden="1" spans="1:8">
      <c r="A204" s="37"/>
      <c r="B204" s="30"/>
      <c r="C204" s="32"/>
      <c r="D204" s="21"/>
      <c r="E204" s="21"/>
      <c r="F204" s="21">
        <f t="shared" si="23"/>
        <v>0</v>
      </c>
      <c r="G204" s="21"/>
      <c r="H204" s="21"/>
    </row>
    <row r="205" hidden="1" spans="1:8">
      <c r="A205" s="37"/>
      <c r="B205" s="30"/>
      <c r="C205" s="32"/>
      <c r="D205" s="21"/>
      <c r="E205" s="21"/>
      <c r="F205" s="21">
        <f t="shared" si="23"/>
        <v>0</v>
      </c>
      <c r="G205" s="21"/>
      <c r="H205" s="21"/>
    </row>
    <row r="206" hidden="1" spans="1:8">
      <c r="A206" s="37"/>
      <c r="B206" s="30"/>
      <c r="C206" s="32"/>
      <c r="D206" s="21"/>
      <c r="E206" s="21"/>
      <c r="F206" s="21">
        <f t="shared" si="23"/>
        <v>0</v>
      </c>
      <c r="G206" s="21"/>
      <c r="H206" s="21"/>
    </row>
    <row r="207" hidden="1" spans="1:8">
      <c r="A207" s="37"/>
      <c r="B207" s="30"/>
      <c r="C207" s="32"/>
      <c r="D207" s="21"/>
      <c r="E207" s="21"/>
      <c r="F207" s="21">
        <f t="shared" si="23"/>
        <v>0</v>
      </c>
      <c r="G207" s="21"/>
      <c r="H207" s="21"/>
    </row>
    <row r="208" hidden="1" spans="1:8">
      <c r="A208" s="37"/>
      <c r="B208" s="30"/>
      <c r="C208" s="32"/>
      <c r="D208" s="21"/>
      <c r="E208" s="21"/>
      <c r="F208" s="21">
        <f t="shared" si="23"/>
        <v>0</v>
      </c>
      <c r="G208" s="21"/>
      <c r="H208" s="21"/>
    </row>
    <row r="209" hidden="1" spans="1:8">
      <c r="A209" s="37"/>
      <c r="B209" s="30"/>
      <c r="C209" s="32"/>
      <c r="D209" s="21"/>
      <c r="E209" s="21"/>
      <c r="F209" s="21">
        <f t="shared" si="23"/>
        <v>0</v>
      </c>
      <c r="G209" s="21"/>
      <c r="H209" s="21"/>
    </row>
    <row r="210" hidden="1" spans="1:8">
      <c r="A210" s="37"/>
      <c r="B210" s="30"/>
      <c r="C210" s="32"/>
      <c r="D210" s="21"/>
      <c r="E210" s="21"/>
      <c r="F210" s="21">
        <f t="shared" si="23"/>
        <v>0</v>
      </c>
      <c r="G210" s="21"/>
      <c r="H210" s="21"/>
    </row>
    <row r="211" hidden="1" spans="1:8">
      <c r="A211" s="37"/>
      <c r="B211" s="30"/>
      <c r="C211" s="32"/>
      <c r="D211" s="21"/>
      <c r="E211" s="21"/>
      <c r="F211" s="21">
        <f t="shared" si="23"/>
        <v>0</v>
      </c>
      <c r="G211" s="21"/>
      <c r="H211" s="21"/>
    </row>
    <row r="212" hidden="1" spans="1:8">
      <c r="A212" s="37"/>
      <c r="B212" s="30"/>
      <c r="C212" s="32"/>
      <c r="D212" s="21"/>
      <c r="E212" s="21"/>
      <c r="F212" s="21">
        <f t="shared" si="23"/>
        <v>0</v>
      </c>
      <c r="G212" s="21"/>
      <c r="H212" s="21"/>
    </row>
    <row r="213" hidden="1" spans="1:8">
      <c r="A213" s="37"/>
      <c r="B213" s="30"/>
      <c r="C213" s="32"/>
      <c r="D213" s="21"/>
      <c r="E213" s="21"/>
      <c r="F213" s="21">
        <f t="shared" si="23"/>
        <v>0</v>
      </c>
      <c r="G213" s="21"/>
      <c r="H213" s="21"/>
    </row>
    <row r="214" hidden="1" spans="1:8">
      <c r="A214" s="20"/>
      <c r="B214" s="30"/>
      <c r="C214" s="32"/>
      <c r="D214" s="21"/>
      <c r="E214" s="21"/>
      <c r="F214" s="21">
        <f t="shared" si="23"/>
        <v>0</v>
      </c>
      <c r="G214" s="21"/>
      <c r="H214" s="21"/>
    </row>
    <row r="215" hidden="1" spans="1:8">
      <c r="A215" s="20"/>
      <c r="B215" s="30"/>
      <c r="C215" s="32"/>
      <c r="D215" s="21"/>
      <c r="E215" s="21"/>
      <c r="F215" s="21">
        <f t="shared" si="23"/>
        <v>0</v>
      </c>
      <c r="G215" s="21"/>
      <c r="H215" s="21"/>
    </row>
    <row r="216" hidden="1" spans="1:8">
      <c r="A216" s="20"/>
      <c r="B216" s="30"/>
      <c r="C216" s="32"/>
      <c r="D216" s="21"/>
      <c r="E216" s="21"/>
      <c r="F216" s="21">
        <f t="shared" si="23"/>
        <v>0</v>
      </c>
      <c r="G216" s="21"/>
      <c r="H216" s="21"/>
    </row>
    <row r="217" hidden="1" spans="1:8">
      <c r="A217" s="20"/>
      <c r="B217" s="30"/>
      <c r="C217" s="32"/>
      <c r="D217" s="21"/>
      <c r="E217" s="21"/>
      <c r="F217" s="21">
        <f t="shared" si="23"/>
        <v>0</v>
      </c>
      <c r="G217" s="21"/>
      <c r="H217" s="21"/>
    </row>
    <row r="218" s="4" customFormat="1" ht="14.25" hidden="1" spans="1:11">
      <c r="A218" s="23"/>
      <c r="B218" s="45" t="s">
        <v>387</v>
      </c>
      <c r="C218" s="46"/>
      <c r="D218" s="24"/>
      <c r="E218" s="24"/>
      <c r="F218" s="24">
        <f>SUM(F196:F217)</f>
        <v>0</v>
      </c>
      <c r="G218" s="24">
        <f t="shared" ref="G218:H218" si="24">SUM(G196:G217)</f>
        <v>0</v>
      </c>
      <c r="H218" s="24">
        <f t="shared" si="24"/>
        <v>0</v>
      </c>
      <c r="I218" s="44"/>
      <c r="J218" s="44"/>
      <c r="K218" s="44"/>
    </row>
    <row r="219" ht="15.75"/>
    <row r="220" ht="15.75" spans="1:8">
      <c r="A220" s="65"/>
      <c r="B220" s="66" t="s">
        <v>554</v>
      </c>
      <c r="C220" s="67"/>
      <c r="D220" s="67"/>
      <c r="E220" s="68"/>
      <c r="F220" s="69">
        <f>F218+F190+F164+F140+G128+F116+G104+F91+F79+F67+F55+F42+I30</f>
        <v>18100</v>
      </c>
      <c r="G220" s="69">
        <f>G218+G190+G164+G140+H128+G116+H104+G91+G79+G67+G55+G42+J30</f>
        <v>18100</v>
      </c>
      <c r="H220" s="69">
        <f>H218+H190+H164+H140+I128+H116+I104+H91+H79+H67+H55+H42+K30</f>
        <v>18100</v>
      </c>
    </row>
    <row r="223" s="6" customFormat="1" ht="20.25" customHeight="1" spans="1:21">
      <c r="A223" s="6" t="s">
        <v>267</v>
      </c>
      <c r="D223" s="70" t="str">
        <f>закупки!AQ30</f>
        <v>Заведующий</v>
      </c>
      <c r="E223" s="71"/>
      <c r="F223" s="70"/>
      <c r="G223" s="71"/>
      <c r="H223" s="70" t="str">
        <f>закупки!BY30</f>
        <v>Измайлова Н.В.</v>
      </c>
      <c r="I223" s="70"/>
      <c r="J223" s="71"/>
      <c r="K223" s="71"/>
      <c r="L223" s="71"/>
      <c r="M223" s="71"/>
      <c r="N223" s="71"/>
      <c r="O223" s="71"/>
      <c r="P223" s="71"/>
      <c r="Q223" s="71"/>
      <c r="R223" s="71"/>
      <c r="S223" s="71"/>
      <c r="T223" s="71"/>
      <c r="U223" s="77"/>
    </row>
    <row r="224" s="6" customFormat="1" ht="20.25" customHeight="1" spans="1:21">
      <c r="A224" s="6" t="s">
        <v>268</v>
      </c>
      <c r="D224" s="72" t="s">
        <v>555</v>
      </c>
      <c r="E224" s="73"/>
      <c r="F224" s="72" t="s">
        <v>556</v>
      </c>
      <c r="G224" s="73"/>
      <c r="H224" s="74" t="s">
        <v>557</v>
      </c>
      <c r="I224" s="74"/>
      <c r="J224" s="73"/>
      <c r="K224" s="73"/>
      <c r="L224" s="73"/>
      <c r="M224" s="73"/>
      <c r="N224" s="73"/>
      <c r="O224" s="73"/>
      <c r="P224" s="73"/>
      <c r="Q224" s="73"/>
      <c r="R224" s="73"/>
      <c r="S224" s="73"/>
      <c r="T224" s="73"/>
      <c r="U224" s="77"/>
    </row>
    <row r="225" s="6" customFormat="1" spans="1:1">
      <c r="A225" s="75"/>
    </row>
    <row r="226" s="6" customFormat="1" spans="1:8">
      <c r="A226" s="75" t="s">
        <v>271</v>
      </c>
      <c r="B226" s="75"/>
      <c r="C226" s="70" t="str">
        <f>закупки!AM33</f>
        <v>Гл.бухгалтер</v>
      </c>
      <c r="D226" s="71"/>
      <c r="E226" s="70" t="str">
        <f>закупки!BG33</f>
        <v>Родионова Н.А.</v>
      </c>
      <c r="F226" s="71"/>
      <c r="G226" s="76" t="str">
        <f>закупки!CA33</f>
        <v>31-55-99</v>
      </c>
      <c r="H226" s="70"/>
    </row>
    <row r="227" s="6" customFormat="1" spans="3:8">
      <c r="C227" s="72" t="s">
        <v>558</v>
      </c>
      <c r="D227" s="73"/>
      <c r="E227" s="74" t="s">
        <v>275</v>
      </c>
      <c r="F227" s="73"/>
      <c r="G227" s="74" t="s">
        <v>276</v>
      </c>
      <c r="H227" s="74"/>
    </row>
    <row r="228" s="6" customFormat="1"/>
    <row r="229" s="6" customFormat="1"/>
    <row r="230" s="6" customFormat="1"/>
    <row r="231" s="6" customFormat="1"/>
    <row r="232" s="6" customFormat="1" customHeight="1" spans="1:5">
      <c r="A232" s="75" t="s">
        <v>559</v>
      </c>
      <c r="B232" s="75"/>
      <c r="C232" s="75"/>
      <c r="D232" s="75"/>
      <c r="E232" s="75"/>
    </row>
  </sheetData>
  <mergeCells count="121">
    <mergeCell ref="J1:K1"/>
    <mergeCell ref="I2:K2"/>
    <mergeCell ref="A3:K3"/>
    <mergeCell ref="A6:K6"/>
    <mergeCell ref="A8:B8"/>
    <mergeCell ref="A10:C10"/>
    <mergeCell ref="D15:G15"/>
    <mergeCell ref="A44:H44"/>
    <mergeCell ref="B46:D46"/>
    <mergeCell ref="B47:D47"/>
    <mergeCell ref="B48:D48"/>
    <mergeCell ref="B49:D49"/>
    <mergeCell ref="B50:D50"/>
    <mergeCell ref="B51:D51"/>
    <mergeCell ref="B52:D52"/>
    <mergeCell ref="B53:D53"/>
    <mergeCell ref="B54:D54"/>
    <mergeCell ref="B55:D55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A81:H81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6:C96"/>
    <mergeCell ref="B97:C97"/>
    <mergeCell ref="B98:C98"/>
    <mergeCell ref="B99:C99"/>
    <mergeCell ref="B102:C102"/>
    <mergeCell ref="B103:C103"/>
    <mergeCell ref="B104:C104"/>
    <mergeCell ref="B108:C108"/>
    <mergeCell ref="B109:C109"/>
    <mergeCell ref="B110:C110"/>
    <mergeCell ref="B111:C111"/>
    <mergeCell ref="B112:C112"/>
    <mergeCell ref="B113:C113"/>
    <mergeCell ref="B114:C114"/>
    <mergeCell ref="B115:C115"/>
    <mergeCell ref="B116:C116"/>
    <mergeCell ref="B120:C120"/>
    <mergeCell ref="B121:C121"/>
    <mergeCell ref="B122:C122"/>
    <mergeCell ref="B123:C123"/>
    <mergeCell ref="B124:C124"/>
    <mergeCell ref="B125:C125"/>
    <mergeCell ref="B126:C126"/>
    <mergeCell ref="B127:C127"/>
    <mergeCell ref="B128:C128"/>
    <mergeCell ref="B132:C132"/>
    <mergeCell ref="B133:C133"/>
    <mergeCell ref="B134:C134"/>
    <mergeCell ref="B135:C135"/>
    <mergeCell ref="B136:C136"/>
    <mergeCell ref="B137:C137"/>
    <mergeCell ref="B138:C138"/>
    <mergeCell ref="B139:C139"/>
    <mergeCell ref="B140:C140"/>
    <mergeCell ref="B144:C144"/>
    <mergeCell ref="B145:C145"/>
    <mergeCell ref="B146:C146"/>
    <mergeCell ref="B147:C147"/>
    <mergeCell ref="B160:C160"/>
    <mergeCell ref="B161:C161"/>
    <mergeCell ref="B162:C162"/>
    <mergeCell ref="B163:C163"/>
    <mergeCell ref="B164:C164"/>
    <mergeCell ref="B168:C168"/>
    <mergeCell ref="B169:C169"/>
    <mergeCell ref="B170:C170"/>
    <mergeCell ref="B171:C171"/>
    <mergeCell ref="B172:C172"/>
    <mergeCell ref="B187:C187"/>
    <mergeCell ref="B188:C188"/>
    <mergeCell ref="B189:C189"/>
    <mergeCell ref="B190:C190"/>
    <mergeCell ref="B194:C194"/>
    <mergeCell ref="B195:C195"/>
    <mergeCell ref="B196:C196"/>
    <mergeCell ref="B197:C197"/>
    <mergeCell ref="B214:C214"/>
    <mergeCell ref="B215:C215"/>
    <mergeCell ref="B216:C216"/>
    <mergeCell ref="B217:C217"/>
    <mergeCell ref="B218:C218"/>
    <mergeCell ref="B220:E220"/>
    <mergeCell ref="A223:C223"/>
    <mergeCell ref="A224:C224"/>
    <mergeCell ref="A226:B226"/>
    <mergeCell ref="G227:H227"/>
    <mergeCell ref="A232:E232"/>
    <mergeCell ref="A15:A17"/>
    <mergeCell ref="B15:B17"/>
    <mergeCell ref="C15:C17"/>
    <mergeCell ref="D16:D17"/>
    <mergeCell ref="H15:H17"/>
    <mergeCell ref="I15:I17"/>
    <mergeCell ref="J15:J17"/>
    <mergeCell ref="K15:K17"/>
  </mergeCells>
  <pageMargins left="0.415625" right="0.40375" top="0.4453125" bottom="0.75" header="0.3" footer="0.3"/>
  <pageSetup paperSize="9" scale="62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232"/>
  <sheetViews>
    <sheetView topLeftCell="A53" workbookViewId="0">
      <selection activeCell="A232" sqref="A232:E232"/>
    </sheetView>
  </sheetViews>
  <sheetFormatPr defaultColWidth="9.14285714285714" defaultRowHeight="15"/>
  <cols>
    <col min="1" max="1" width="8.85714285714286" style="7" customWidth="1"/>
    <col min="2" max="2" width="17.7142857142857" style="8" customWidth="1"/>
    <col min="3" max="3" width="14.2857142857143" style="8" customWidth="1"/>
    <col min="4" max="11" width="14" style="8" customWidth="1"/>
    <col min="12" max="12" width="17.7142857142857" style="7" customWidth="1"/>
    <col min="13" max="16384" width="9.14285714285714" style="7"/>
  </cols>
  <sheetData>
    <row r="1" hidden="1" spans="9:11">
      <c r="I1" s="6"/>
      <c r="J1" s="40" t="s">
        <v>362</v>
      </c>
      <c r="K1" s="40"/>
    </row>
    <row r="2" hidden="1" spans="9:11">
      <c r="I2" s="41" t="s">
        <v>285</v>
      </c>
      <c r="J2" s="41"/>
      <c r="K2" s="41"/>
    </row>
    <row r="3" ht="15.75" spans="1:11">
      <c r="A3" s="9" t="s">
        <v>363</v>
      </c>
      <c r="B3" s="9"/>
      <c r="C3" s="9"/>
      <c r="D3" s="9"/>
      <c r="E3" s="9"/>
      <c r="F3" s="9"/>
      <c r="G3" s="9"/>
      <c r="H3" s="9"/>
      <c r="I3" s="9"/>
      <c r="J3" s="9"/>
      <c r="K3" s="9"/>
    </row>
    <row r="6" spans="1:11">
      <c r="A6" s="10" t="s">
        <v>364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8" spans="1:3">
      <c r="A8" s="11" t="s">
        <v>365</v>
      </c>
      <c r="B8" s="11"/>
      <c r="C8" s="12">
        <v>1210171053</v>
      </c>
    </row>
    <row r="10" spans="1:4">
      <c r="A10" s="11" t="s">
        <v>366</v>
      </c>
      <c r="B10" s="11"/>
      <c r="C10" s="11"/>
      <c r="D10" s="13" t="s">
        <v>367</v>
      </c>
    </row>
    <row r="11" spans="1:3">
      <c r="A11" s="11"/>
      <c r="B11" s="11"/>
      <c r="C11" s="11"/>
    </row>
    <row r="12" spans="1:4">
      <c r="A12" s="14" t="s">
        <v>368</v>
      </c>
      <c r="B12" s="15"/>
      <c r="C12" s="15"/>
      <c r="D12" s="15"/>
    </row>
    <row r="13" spans="1:4">
      <c r="A13" s="14" t="s">
        <v>369</v>
      </c>
      <c r="B13" s="15"/>
      <c r="C13" s="15"/>
      <c r="D13" s="15"/>
    </row>
    <row r="15" s="1" customFormat="1" ht="12" spans="1:11">
      <c r="A15" s="16"/>
      <c r="B15" s="17" t="s">
        <v>370</v>
      </c>
      <c r="C15" s="17" t="s">
        <v>371</v>
      </c>
      <c r="D15" s="17" t="s">
        <v>372</v>
      </c>
      <c r="E15" s="17"/>
      <c r="F15" s="17"/>
      <c r="G15" s="17"/>
      <c r="H15" s="17" t="s">
        <v>373</v>
      </c>
      <c r="I15" s="17" t="s">
        <v>374</v>
      </c>
      <c r="J15" s="17" t="s">
        <v>375</v>
      </c>
      <c r="K15" s="17" t="s">
        <v>376</v>
      </c>
    </row>
    <row r="16" s="1" customFormat="1" ht="12" spans="1:11">
      <c r="A16" s="16"/>
      <c r="B16" s="17"/>
      <c r="C16" s="17"/>
      <c r="D16" s="16" t="s">
        <v>377</v>
      </c>
      <c r="E16" s="16" t="s">
        <v>54</v>
      </c>
      <c r="F16" s="16"/>
      <c r="G16" s="16"/>
      <c r="H16" s="17"/>
      <c r="I16" s="17"/>
      <c r="J16" s="17"/>
      <c r="K16" s="17"/>
    </row>
    <row r="17" s="2" customFormat="1" ht="36" spans="1:11">
      <c r="A17" s="16"/>
      <c r="B17" s="17"/>
      <c r="C17" s="17"/>
      <c r="D17" s="16"/>
      <c r="E17" s="18" t="s">
        <v>378</v>
      </c>
      <c r="F17" s="18" t="s">
        <v>379</v>
      </c>
      <c r="G17" s="18" t="s">
        <v>380</v>
      </c>
      <c r="H17" s="17"/>
      <c r="I17" s="17"/>
      <c r="J17" s="17"/>
      <c r="K17" s="17"/>
    </row>
    <row r="18" s="3" customFormat="1" spans="1:11">
      <c r="A18" s="19">
        <v>1</v>
      </c>
      <c r="B18" s="19">
        <v>2</v>
      </c>
      <c r="C18" s="19">
        <v>3</v>
      </c>
      <c r="D18" s="19">
        <v>4</v>
      </c>
      <c r="E18" s="19">
        <v>5</v>
      </c>
      <c r="F18" s="19">
        <v>6</v>
      </c>
      <c r="G18" s="19">
        <v>7</v>
      </c>
      <c r="H18" s="19">
        <v>8</v>
      </c>
      <c r="I18" s="19">
        <v>9</v>
      </c>
      <c r="J18" s="19">
        <v>10</v>
      </c>
      <c r="K18" s="19">
        <v>11</v>
      </c>
    </row>
    <row r="19" s="3" customFormat="1" spans="1:11">
      <c r="A19" s="19"/>
      <c r="B19" s="19" t="s">
        <v>381</v>
      </c>
      <c r="C19" s="19"/>
      <c r="D19" s="19"/>
      <c r="E19" s="19"/>
      <c r="F19" s="19"/>
      <c r="G19" s="19"/>
      <c r="H19" s="19"/>
      <c r="I19" s="19"/>
      <c r="J19" s="19"/>
      <c r="K19" s="19"/>
    </row>
    <row r="20" ht="24" spans="1:11">
      <c r="A20" s="20">
        <v>1</v>
      </c>
      <c r="B20" s="18" t="s">
        <v>382</v>
      </c>
      <c r="C20" s="21"/>
      <c r="D20" s="21">
        <f>E20+F20+G20</f>
        <v>0</v>
      </c>
      <c r="E20" s="21"/>
      <c r="F20" s="21"/>
      <c r="G20" s="21"/>
      <c r="H20" s="21"/>
      <c r="I20" s="21">
        <f>C20*D20+H20</f>
        <v>0</v>
      </c>
      <c r="J20" s="21"/>
      <c r="K20" s="21"/>
    </row>
    <row r="21" spans="1:11">
      <c r="A21" s="20">
        <v>2</v>
      </c>
      <c r="B21" s="18" t="s">
        <v>383</v>
      </c>
      <c r="C21" s="21"/>
      <c r="D21" s="21">
        <f t="shared" ref="D21:D29" si="0">E21+F21+G21</f>
        <v>0</v>
      </c>
      <c r="E21" s="21"/>
      <c r="F21" s="21"/>
      <c r="G21" s="21"/>
      <c r="H21" s="21"/>
      <c r="I21" s="21">
        <f t="shared" ref="I21:I29" si="1">C21*D21+H21</f>
        <v>0</v>
      </c>
      <c r="J21" s="21"/>
      <c r="K21" s="21"/>
    </row>
    <row r="22" spans="1:11">
      <c r="A22" s="20">
        <v>3</v>
      </c>
      <c r="B22" s="18" t="s">
        <v>384</v>
      </c>
      <c r="C22" s="21">
        <v>3</v>
      </c>
      <c r="D22" s="21">
        <f t="shared" si="0"/>
        <v>0</v>
      </c>
      <c r="E22" s="21"/>
      <c r="F22" s="21"/>
      <c r="G22" s="21"/>
      <c r="H22" s="21">
        <v>7345.54</v>
      </c>
      <c r="I22" s="36">
        <f>ROUND((C22*H22)*12,0)</f>
        <v>264439</v>
      </c>
      <c r="J22" s="36">
        <v>264439</v>
      </c>
      <c r="K22" s="42">
        <v>264439</v>
      </c>
    </row>
    <row r="23" spans="1:11">
      <c r="A23" s="19"/>
      <c r="B23" s="19"/>
      <c r="C23" s="19"/>
      <c r="D23" s="21">
        <f t="shared" si="0"/>
        <v>0</v>
      </c>
      <c r="E23" s="21"/>
      <c r="F23" s="21"/>
      <c r="G23" s="21"/>
      <c r="H23" s="21"/>
      <c r="I23" s="36">
        <f t="shared" si="1"/>
        <v>0</v>
      </c>
      <c r="J23" s="36"/>
      <c r="K23" s="36"/>
    </row>
    <row r="24" s="3" customFormat="1" hidden="1" spans="1:11">
      <c r="A24" s="19"/>
      <c r="B24" s="19" t="s">
        <v>385</v>
      </c>
      <c r="C24" s="19"/>
      <c r="D24" s="19"/>
      <c r="E24" s="19"/>
      <c r="F24" s="19"/>
      <c r="G24" s="19"/>
      <c r="H24" s="19"/>
      <c r="I24" s="19"/>
      <c r="J24" s="19"/>
      <c r="K24" s="19"/>
    </row>
    <row r="25" ht="24" hidden="1" spans="1:11">
      <c r="A25" s="20">
        <v>1</v>
      </c>
      <c r="B25" s="18" t="s">
        <v>382</v>
      </c>
      <c r="C25" s="21"/>
      <c r="D25" s="21">
        <f>E25+F25+G25</f>
        <v>0</v>
      </c>
      <c r="E25" s="21"/>
      <c r="F25" s="21"/>
      <c r="G25" s="21"/>
      <c r="H25" s="21"/>
      <c r="I25" s="21">
        <f>C25*D25+H25</f>
        <v>0</v>
      </c>
      <c r="J25" s="21"/>
      <c r="K25" s="21"/>
    </row>
    <row r="26" hidden="1" spans="1:11">
      <c r="A26" s="20">
        <v>2</v>
      </c>
      <c r="B26" s="18" t="s">
        <v>383</v>
      </c>
      <c r="C26" s="21"/>
      <c r="D26" s="21">
        <f t="shared" ref="D26:D27" si="2">E26+F26+G26</f>
        <v>0</v>
      </c>
      <c r="E26" s="21"/>
      <c r="F26" s="21"/>
      <c r="G26" s="21"/>
      <c r="H26" s="21"/>
      <c r="I26" s="21">
        <f t="shared" ref="I26" si="3">C26*D26+H26</f>
        <v>0</v>
      </c>
      <c r="J26" s="21"/>
      <c r="K26" s="21"/>
    </row>
    <row r="27" hidden="1" spans="1:11">
      <c r="A27" s="20">
        <v>3</v>
      </c>
      <c r="B27" s="18" t="s">
        <v>384</v>
      </c>
      <c r="C27" s="21"/>
      <c r="D27" s="21">
        <f t="shared" si="2"/>
        <v>0</v>
      </c>
      <c r="E27" s="21">
        <f>0*1.03</f>
        <v>0</v>
      </c>
      <c r="F27" s="21">
        <f>ROUND(0*1.03,2)</f>
        <v>0</v>
      </c>
      <c r="G27" s="21"/>
      <c r="H27" s="21"/>
      <c r="I27" s="36">
        <f>ROUND((C27*D27+H27)*3,0)</f>
        <v>0</v>
      </c>
      <c r="J27" s="36"/>
      <c r="K27" s="42"/>
    </row>
    <row r="28" hidden="1" spans="1:11">
      <c r="A28" s="20"/>
      <c r="B28" s="22"/>
      <c r="C28" s="21"/>
      <c r="D28" s="21">
        <f t="shared" si="0"/>
        <v>0</v>
      </c>
      <c r="E28" s="21"/>
      <c r="F28" s="21"/>
      <c r="G28" s="21"/>
      <c r="H28" s="21"/>
      <c r="I28" s="36">
        <f t="shared" si="1"/>
        <v>0</v>
      </c>
      <c r="J28" s="36"/>
      <c r="K28" s="36"/>
    </row>
    <row r="29" hidden="1" spans="1:11">
      <c r="A29" s="20"/>
      <c r="B29" s="22"/>
      <c r="C29" s="21"/>
      <c r="D29" s="21">
        <f t="shared" si="0"/>
        <v>0</v>
      </c>
      <c r="E29" s="21"/>
      <c r="F29" s="21"/>
      <c r="G29" s="21"/>
      <c r="H29" s="21"/>
      <c r="I29" s="36">
        <f t="shared" si="1"/>
        <v>0</v>
      </c>
      <c r="J29" s="36"/>
      <c r="K29" s="36"/>
    </row>
    <row r="30" s="4" customFormat="1" ht="14.25" spans="1:11">
      <c r="A30" s="23" t="s">
        <v>387</v>
      </c>
      <c r="B30" s="24"/>
      <c r="C30" s="24"/>
      <c r="D30" s="24"/>
      <c r="E30" s="24"/>
      <c r="F30" s="24"/>
      <c r="G30" s="24"/>
      <c r="H30" s="24"/>
      <c r="I30" s="39">
        <f>SUM(I20:I29)</f>
        <v>264439</v>
      </c>
      <c r="J30" s="39">
        <f t="shared" ref="J30:K30" si="4">SUM(J20:J29)</f>
        <v>264439</v>
      </c>
      <c r="K30" s="39">
        <f t="shared" si="4"/>
        <v>264439</v>
      </c>
    </row>
    <row r="32" s="5" customFormat="1" ht="14.25" hidden="1" spans="1:11">
      <c r="A32" s="5" t="s">
        <v>388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</row>
    <row r="33" hidden="1"/>
    <row r="34" s="1" customFormat="1" ht="48" hidden="1" spans="1:11">
      <c r="A34" s="25" t="s">
        <v>389</v>
      </c>
      <c r="B34" s="18" t="s">
        <v>390</v>
      </c>
      <c r="C34" s="18" t="s">
        <v>391</v>
      </c>
      <c r="D34" s="18" t="s">
        <v>392</v>
      </c>
      <c r="E34" s="18" t="s">
        <v>393</v>
      </c>
      <c r="F34" s="18" t="s">
        <v>394</v>
      </c>
      <c r="G34" s="18" t="s">
        <v>394</v>
      </c>
      <c r="H34" s="18" t="s">
        <v>394</v>
      </c>
      <c r="I34" s="43"/>
      <c r="J34" s="43"/>
      <c r="K34" s="43"/>
    </row>
    <row r="35" s="3" customFormat="1" hidden="1" spans="1:8">
      <c r="A35" s="19">
        <v>1</v>
      </c>
      <c r="B35" s="19">
        <v>2</v>
      </c>
      <c r="C35" s="19">
        <v>3</v>
      </c>
      <c r="D35" s="19">
        <v>4</v>
      </c>
      <c r="E35" s="19">
        <v>5</v>
      </c>
      <c r="F35" s="19">
        <v>6</v>
      </c>
      <c r="G35" s="19">
        <v>7</v>
      </c>
      <c r="H35" s="19">
        <v>8</v>
      </c>
    </row>
    <row r="36" hidden="1" spans="1:8">
      <c r="A36" s="20"/>
      <c r="B36" s="21"/>
      <c r="C36" s="21"/>
      <c r="D36" s="21"/>
      <c r="E36" s="21"/>
      <c r="F36" s="21"/>
      <c r="G36" s="21"/>
      <c r="H36" s="21"/>
    </row>
    <row r="37" hidden="1" spans="1:8">
      <c r="A37" s="20"/>
      <c r="B37" s="21"/>
      <c r="C37" s="21"/>
      <c r="D37" s="21"/>
      <c r="E37" s="21"/>
      <c r="F37" s="21"/>
      <c r="G37" s="21"/>
      <c r="H37" s="21"/>
    </row>
    <row r="38" hidden="1" spans="1:8">
      <c r="A38" s="20"/>
      <c r="B38" s="21"/>
      <c r="C38" s="21"/>
      <c r="D38" s="21"/>
      <c r="E38" s="21"/>
      <c r="F38" s="21"/>
      <c r="G38" s="21"/>
      <c r="H38" s="21"/>
    </row>
    <row r="39" hidden="1" spans="1:8">
      <c r="A39" s="20"/>
      <c r="B39" s="21"/>
      <c r="C39" s="21"/>
      <c r="D39" s="21"/>
      <c r="E39" s="21"/>
      <c r="F39" s="21"/>
      <c r="G39" s="21"/>
      <c r="H39" s="21"/>
    </row>
    <row r="40" hidden="1" spans="1:8">
      <c r="A40" s="20"/>
      <c r="B40" s="21"/>
      <c r="C40" s="21"/>
      <c r="D40" s="21"/>
      <c r="E40" s="21"/>
      <c r="F40" s="21"/>
      <c r="G40" s="21"/>
      <c r="H40" s="21"/>
    </row>
    <row r="41" hidden="1" spans="1:8">
      <c r="A41" s="20"/>
      <c r="B41" s="21"/>
      <c r="C41" s="21"/>
      <c r="D41" s="21"/>
      <c r="E41" s="21"/>
      <c r="F41" s="21"/>
      <c r="G41" s="21"/>
      <c r="H41" s="21"/>
    </row>
    <row r="42" hidden="1" spans="1:8">
      <c r="A42" s="20"/>
      <c r="B42" s="21"/>
      <c r="C42" s="21"/>
      <c r="D42" s="21"/>
      <c r="E42" s="21"/>
      <c r="F42" s="21"/>
      <c r="G42" s="21"/>
      <c r="H42" s="21"/>
    </row>
    <row r="43" hidden="1"/>
    <row r="44" spans="1:8">
      <c r="A44" s="26" t="s">
        <v>395</v>
      </c>
      <c r="B44" s="26"/>
      <c r="C44" s="26"/>
      <c r="D44" s="26"/>
      <c r="E44" s="26"/>
      <c r="F44" s="26"/>
      <c r="G44" s="26"/>
      <c r="H44" s="26"/>
    </row>
    <row r="46" ht="48" spans="1:8">
      <c r="A46" s="25" t="s">
        <v>389</v>
      </c>
      <c r="B46" s="27" t="s">
        <v>396</v>
      </c>
      <c r="C46" s="28"/>
      <c r="D46" s="29"/>
      <c r="E46" s="18" t="s">
        <v>397</v>
      </c>
      <c r="F46" s="18" t="s">
        <v>398</v>
      </c>
      <c r="G46" s="18" t="s">
        <v>399</v>
      </c>
      <c r="H46" s="18" t="s">
        <v>400</v>
      </c>
    </row>
    <row r="47" spans="1:8">
      <c r="A47" s="19">
        <v>1</v>
      </c>
      <c r="B47" s="30">
        <v>2</v>
      </c>
      <c r="C47" s="31"/>
      <c r="D47" s="32"/>
      <c r="E47" s="19">
        <v>3</v>
      </c>
      <c r="F47" s="19">
        <v>4</v>
      </c>
      <c r="G47" s="19">
        <v>5</v>
      </c>
      <c r="H47" s="19">
        <v>6</v>
      </c>
    </row>
    <row r="48" ht="24" customHeight="1" spans="1:8">
      <c r="A48" s="20">
        <v>1</v>
      </c>
      <c r="B48" s="33" t="s">
        <v>401</v>
      </c>
      <c r="C48" s="34"/>
      <c r="D48" s="35"/>
      <c r="E48" s="36"/>
      <c r="F48" s="36">
        <f>F50</f>
        <v>58177</v>
      </c>
      <c r="G48" s="36">
        <f t="shared" ref="G48:H48" si="5">G50</f>
        <v>58177</v>
      </c>
      <c r="H48" s="36">
        <f t="shared" si="5"/>
        <v>58177</v>
      </c>
    </row>
    <row r="49" spans="1:8">
      <c r="A49" s="20"/>
      <c r="B49" s="33" t="s">
        <v>54</v>
      </c>
      <c r="C49" s="34"/>
      <c r="D49" s="35"/>
      <c r="E49" s="36"/>
      <c r="F49" s="36"/>
      <c r="G49" s="36"/>
      <c r="H49" s="36"/>
    </row>
    <row r="50" spans="1:8">
      <c r="A50" s="37"/>
      <c r="B50" s="33" t="s">
        <v>402</v>
      </c>
      <c r="C50" s="34"/>
      <c r="D50" s="35"/>
      <c r="E50" s="36">
        <f>I22+I27</f>
        <v>264439</v>
      </c>
      <c r="F50" s="36">
        <f>ROUND(E50*0.22,0)</f>
        <v>58177</v>
      </c>
      <c r="G50" s="36">
        <f>ROUND(J30*0.22,0)</f>
        <v>58177</v>
      </c>
      <c r="H50" s="36">
        <f>ROUND(K30*0.22,0)</f>
        <v>58177</v>
      </c>
    </row>
    <row r="51" ht="27.75" customHeight="1" spans="1:8">
      <c r="A51" s="20">
        <v>2</v>
      </c>
      <c r="B51" s="33" t="s">
        <v>403</v>
      </c>
      <c r="C51" s="34"/>
      <c r="D51" s="35"/>
      <c r="E51" s="36"/>
      <c r="F51" s="36">
        <f>F52+F53</f>
        <v>8198</v>
      </c>
      <c r="G51" s="36">
        <f t="shared" ref="G51:H51" si="6">G52+G53</f>
        <v>8198</v>
      </c>
      <c r="H51" s="36">
        <f t="shared" si="6"/>
        <v>8198</v>
      </c>
    </row>
    <row r="52" ht="27.75" customHeight="1" spans="1:8">
      <c r="A52" s="20"/>
      <c r="B52" s="33" t="s">
        <v>404</v>
      </c>
      <c r="C52" s="34"/>
      <c r="D52" s="35"/>
      <c r="E52" s="36">
        <f>E50</f>
        <v>264439</v>
      </c>
      <c r="F52" s="36">
        <f>ROUND(E52*0.029,0)</f>
        <v>7669</v>
      </c>
      <c r="G52" s="36">
        <f>ROUND(J30*0.029,0)</f>
        <v>7669</v>
      </c>
      <c r="H52" s="36">
        <f>ROUND(K30*0.029,0)</f>
        <v>7669</v>
      </c>
    </row>
    <row r="53" ht="27.75" customHeight="1" spans="1:8">
      <c r="A53" s="20"/>
      <c r="B53" s="33" t="s">
        <v>405</v>
      </c>
      <c r="C53" s="34"/>
      <c r="D53" s="35"/>
      <c r="E53" s="36">
        <f>E52</f>
        <v>264439</v>
      </c>
      <c r="F53" s="36">
        <f>ROUND(E53*0.002,0)</f>
        <v>529</v>
      </c>
      <c r="G53" s="36">
        <f>ROUND(J30*0.002,0)</f>
        <v>529</v>
      </c>
      <c r="H53" s="36">
        <f>ROUND(K30*0.002,0)</f>
        <v>529</v>
      </c>
    </row>
    <row r="54" ht="22.5" customHeight="1" spans="1:8">
      <c r="A54" s="20">
        <v>3</v>
      </c>
      <c r="B54" s="33" t="s">
        <v>406</v>
      </c>
      <c r="C54" s="34"/>
      <c r="D54" s="35"/>
      <c r="E54" s="36">
        <f>E53</f>
        <v>264439</v>
      </c>
      <c r="F54" s="36">
        <f>ROUND(E54*0.051,0)</f>
        <v>13486</v>
      </c>
      <c r="G54" s="36">
        <f>ROUND(J30*0.051,0)</f>
        <v>13486</v>
      </c>
      <c r="H54" s="36">
        <f>ROUND(K30*0.051,0)</f>
        <v>13486</v>
      </c>
    </row>
    <row r="55" s="4" customFormat="1" ht="14.25" spans="1:11">
      <c r="A55" s="23"/>
      <c r="B55" s="38" t="s">
        <v>387</v>
      </c>
      <c r="C55" s="38"/>
      <c r="D55" s="38"/>
      <c r="E55" s="39"/>
      <c r="F55" s="39">
        <f>F48+F51+F54</f>
        <v>79861</v>
      </c>
      <c r="G55" s="39">
        <f t="shared" ref="G55:H55" si="7">G48+G51+G54</f>
        <v>79861</v>
      </c>
      <c r="H55" s="39">
        <f t="shared" si="7"/>
        <v>79861</v>
      </c>
      <c r="I55" s="44"/>
      <c r="J55" s="44"/>
      <c r="K55" s="44"/>
    </row>
    <row r="56" hidden="1"/>
    <row r="57" s="5" customFormat="1" ht="14.25" hidden="1" spans="1:11">
      <c r="A57" s="5" t="s">
        <v>407</v>
      </c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hidden="1"/>
    <row r="59" ht="24" hidden="1" spans="1:8">
      <c r="A59" s="25" t="s">
        <v>389</v>
      </c>
      <c r="B59" s="27" t="s">
        <v>24</v>
      </c>
      <c r="C59" s="29"/>
      <c r="D59" s="18" t="s">
        <v>408</v>
      </c>
      <c r="E59" s="18" t="s">
        <v>409</v>
      </c>
      <c r="F59" s="18" t="s">
        <v>410</v>
      </c>
      <c r="G59" s="18" t="s">
        <v>411</v>
      </c>
      <c r="H59" s="18" t="s">
        <v>412</v>
      </c>
    </row>
    <row r="60" hidden="1" spans="1:8">
      <c r="A60" s="19">
        <v>1</v>
      </c>
      <c r="B60" s="30">
        <v>2</v>
      </c>
      <c r="C60" s="32"/>
      <c r="D60" s="19">
        <v>3</v>
      </c>
      <c r="E60" s="19">
        <v>4</v>
      </c>
      <c r="F60" s="19">
        <v>5</v>
      </c>
      <c r="G60" s="19">
        <v>6</v>
      </c>
      <c r="H60" s="19">
        <v>7</v>
      </c>
    </row>
    <row r="61" hidden="1" spans="1:8">
      <c r="A61" s="20">
        <v>1</v>
      </c>
      <c r="B61" s="30" t="s">
        <v>413</v>
      </c>
      <c r="C61" s="32"/>
      <c r="D61" s="21"/>
      <c r="E61" s="21"/>
      <c r="F61" s="36">
        <f>D61*E61</f>
        <v>0</v>
      </c>
      <c r="G61" s="36"/>
      <c r="H61" s="36"/>
    </row>
    <row r="62" hidden="1" spans="1:8">
      <c r="A62" s="20">
        <v>2</v>
      </c>
      <c r="B62" s="30" t="s">
        <v>414</v>
      </c>
      <c r="C62" s="32"/>
      <c r="D62" s="21"/>
      <c r="E62" s="21"/>
      <c r="F62" s="36">
        <f t="shared" ref="F62:F66" si="8">D62*E62</f>
        <v>0</v>
      </c>
      <c r="G62" s="36"/>
      <c r="H62" s="36"/>
    </row>
    <row r="63" hidden="1" spans="1:8">
      <c r="A63" s="20"/>
      <c r="B63" s="30"/>
      <c r="C63" s="32"/>
      <c r="D63" s="21"/>
      <c r="E63" s="21"/>
      <c r="F63" s="36">
        <f t="shared" si="8"/>
        <v>0</v>
      </c>
      <c r="G63" s="36"/>
      <c r="H63" s="36"/>
    </row>
    <row r="64" hidden="1" spans="1:8">
      <c r="A64" s="20"/>
      <c r="B64" s="30"/>
      <c r="C64" s="32"/>
      <c r="D64" s="21"/>
      <c r="E64" s="21"/>
      <c r="F64" s="36">
        <f t="shared" si="8"/>
        <v>0</v>
      </c>
      <c r="G64" s="36"/>
      <c r="H64" s="36"/>
    </row>
    <row r="65" hidden="1" spans="1:8">
      <c r="A65" s="20"/>
      <c r="B65" s="30"/>
      <c r="C65" s="32"/>
      <c r="D65" s="21"/>
      <c r="E65" s="21"/>
      <c r="F65" s="36">
        <f t="shared" si="8"/>
        <v>0</v>
      </c>
      <c r="G65" s="36"/>
      <c r="H65" s="36"/>
    </row>
    <row r="66" hidden="1" spans="1:8">
      <c r="A66" s="20"/>
      <c r="B66" s="30"/>
      <c r="C66" s="32"/>
      <c r="D66" s="21"/>
      <c r="E66" s="21"/>
      <c r="F66" s="36">
        <f t="shared" si="8"/>
        <v>0</v>
      </c>
      <c r="G66" s="36"/>
      <c r="H66" s="36"/>
    </row>
    <row r="67" s="4" customFormat="1" ht="14.25" hidden="1" spans="1:11">
      <c r="A67" s="23"/>
      <c r="B67" s="45" t="s">
        <v>387</v>
      </c>
      <c r="C67" s="46"/>
      <c r="D67" s="24"/>
      <c r="E67" s="24"/>
      <c r="F67" s="39">
        <f>SUM(F61:F66)</f>
        <v>0</v>
      </c>
      <c r="G67" s="39">
        <f t="shared" ref="G67:H67" si="9">SUM(G61:G66)</f>
        <v>0</v>
      </c>
      <c r="H67" s="39">
        <f t="shared" si="9"/>
        <v>0</v>
      </c>
      <c r="I67" s="44"/>
      <c r="J67" s="44"/>
      <c r="K67" s="44"/>
    </row>
    <row r="68" hidden="1"/>
    <row r="69" s="5" customFormat="1" ht="14.25" hidden="1" spans="1:11">
      <c r="A69" s="5" t="s">
        <v>415</v>
      </c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hidden="1"/>
    <row r="71" ht="72" hidden="1" spans="1:8">
      <c r="A71" s="25" t="s">
        <v>389</v>
      </c>
      <c r="B71" s="27" t="s">
        <v>416</v>
      </c>
      <c r="C71" s="29"/>
      <c r="D71" s="18" t="s">
        <v>417</v>
      </c>
      <c r="E71" s="18" t="s">
        <v>418</v>
      </c>
      <c r="F71" s="18" t="s">
        <v>419</v>
      </c>
      <c r="G71" s="18" t="s">
        <v>420</v>
      </c>
      <c r="H71" s="18" t="s">
        <v>421</v>
      </c>
    </row>
    <row r="72" hidden="1" spans="1:8">
      <c r="A72" s="19">
        <v>1</v>
      </c>
      <c r="B72" s="30">
        <v>2</v>
      </c>
      <c r="C72" s="32"/>
      <c r="D72" s="19">
        <v>3</v>
      </c>
      <c r="E72" s="19">
        <v>4</v>
      </c>
      <c r="F72" s="19">
        <v>5</v>
      </c>
      <c r="G72" s="19">
        <v>6</v>
      </c>
      <c r="H72" s="19">
        <v>7</v>
      </c>
    </row>
    <row r="73" hidden="1" spans="1:8">
      <c r="A73" s="20">
        <v>1</v>
      </c>
      <c r="B73" s="47" t="s">
        <v>422</v>
      </c>
      <c r="C73" s="48"/>
      <c r="D73" s="21"/>
      <c r="E73" s="49">
        <v>0.015</v>
      </c>
      <c r="F73" s="36">
        <f>ROUND(D73*E73,0)</f>
        <v>0</v>
      </c>
      <c r="G73" s="36">
        <f>F73</f>
        <v>0</v>
      </c>
      <c r="H73" s="36">
        <f>G73</f>
        <v>0</v>
      </c>
    </row>
    <row r="74" hidden="1" spans="1:8">
      <c r="A74" s="20">
        <v>2</v>
      </c>
      <c r="B74" s="47" t="s">
        <v>422</v>
      </c>
      <c r="C74" s="48"/>
      <c r="D74" s="21"/>
      <c r="E74" s="49">
        <v>0.015</v>
      </c>
      <c r="F74" s="36">
        <f t="shared" ref="F74:F77" si="10">ROUND(D74*E74,0)</f>
        <v>0</v>
      </c>
      <c r="G74" s="36">
        <f t="shared" ref="G74:H76" si="11">F74</f>
        <v>0</v>
      </c>
      <c r="H74" s="36">
        <f t="shared" si="11"/>
        <v>0</v>
      </c>
    </row>
    <row r="75" hidden="1" spans="1:8">
      <c r="A75" s="20">
        <v>3</v>
      </c>
      <c r="B75" s="47" t="s">
        <v>422</v>
      </c>
      <c r="C75" s="48"/>
      <c r="D75" s="21"/>
      <c r="E75" s="49">
        <v>0.015</v>
      </c>
      <c r="F75" s="36">
        <f t="shared" si="10"/>
        <v>0</v>
      </c>
      <c r="G75" s="36">
        <f t="shared" si="11"/>
        <v>0</v>
      </c>
      <c r="H75" s="36">
        <f t="shared" si="11"/>
        <v>0</v>
      </c>
    </row>
    <row r="76" hidden="1" spans="1:8">
      <c r="A76" s="20">
        <v>4</v>
      </c>
      <c r="B76" s="47" t="s">
        <v>422</v>
      </c>
      <c r="C76" s="48"/>
      <c r="D76" s="21"/>
      <c r="E76" s="49">
        <v>0.015</v>
      </c>
      <c r="F76" s="36">
        <f t="shared" si="10"/>
        <v>0</v>
      </c>
      <c r="G76" s="36">
        <f t="shared" si="11"/>
        <v>0</v>
      </c>
      <c r="H76" s="36">
        <f t="shared" si="11"/>
        <v>0</v>
      </c>
    </row>
    <row r="77" hidden="1" spans="1:8">
      <c r="A77" s="20">
        <v>5</v>
      </c>
      <c r="B77" s="47" t="s">
        <v>423</v>
      </c>
      <c r="C77" s="48"/>
      <c r="D77" s="21"/>
      <c r="E77" s="49">
        <v>0.022</v>
      </c>
      <c r="F77" s="36">
        <f t="shared" si="10"/>
        <v>0</v>
      </c>
      <c r="G77" s="36">
        <f>F77</f>
        <v>0</v>
      </c>
      <c r="H77" s="36">
        <f>G77</f>
        <v>0</v>
      </c>
    </row>
    <row r="78" hidden="1" spans="1:8">
      <c r="A78" s="20"/>
      <c r="B78" s="30"/>
      <c r="C78" s="32"/>
      <c r="D78" s="21"/>
      <c r="E78" s="21"/>
      <c r="F78" s="36"/>
      <c r="G78" s="36"/>
      <c r="H78" s="36"/>
    </row>
    <row r="79" s="4" customFormat="1" ht="14.25" hidden="1" spans="1:11">
      <c r="A79" s="23"/>
      <c r="B79" s="45" t="s">
        <v>387</v>
      </c>
      <c r="C79" s="46"/>
      <c r="D79" s="24"/>
      <c r="E79" s="24"/>
      <c r="F79" s="39">
        <f>SUM(F73:F78)</f>
        <v>0</v>
      </c>
      <c r="G79" s="39">
        <f>SUM(G73:G78)</f>
        <v>0</v>
      </c>
      <c r="H79" s="39">
        <f>SUM(H73:H78)</f>
        <v>0</v>
      </c>
      <c r="I79" s="44"/>
      <c r="J79" s="44"/>
      <c r="K79" s="44"/>
    </row>
    <row r="80" hidden="1"/>
    <row r="81" hidden="1" spans="1:8">
      <c r="A81" s="50" t="s">
        <v>424</v>
      </c>
      <c r="B81" s="50"/>
      <c r="C81" s="50"/>
      <c r="D81" s="50"/>
      <c r="E81" s="50"/>
      <c r="F81" s="50"/>
      <c r="G81" s="50"/>
      <c r="H81" s="50"/>
    </row>
    <row r="82" hidden="1"/>
    <row r="83" ht="36" hidden="1" spans="1:8">
      <c r="A83" s="25" t="s">
        <v>389</v>
      </c>
      <c r="B83" s="27" t="s">
        <v>24</v>
      </c>
      <c r="C83" s="29"/>
      <c r="D83" s="18" t="s">
        <v>425</v>
      </c>
      <c r="E83" s="18" t="s">
        <v>409</v>
      </c>
      <c r="F83" s="18" t="s">
        <v>426</v>
      </c>
      <c r="G83" s="18" t="s">
        <v>426</v>
      </c>
      <c r="H83" s="18" t="s">
        <v>426</v>
      </c>
    </row>
    <row r="84" hidden="1" spans="1:8">
      <c r="A84" s="19">
        <v>1</v>
      </c>
      <c r="B84" s="30">
        <v>2</v>
      </c>
      <c r="C84" s="32"/>
      <c r="D84" s="19">
        <v>3</v>
      </c>
      <c r="E84" s="19">
        <v>4</v>
      </c>
      <c r="F84" s="19">
        <v>5</v>
      </c>
      <c r="G84" s="19">
        <v>6</v>
      </c>
      <c r="H84" s="19">
        <v>7</v>
      </c>
    </row>
    <row r="85" hidden="1" spans="1:8">
      <c r="A85" s="20"/>
      <c r="B85" s="30"/>
      <c r="C85" s="32"/>
      <c r="D85" s="21"/>
      <c r="E85" s="21"/>
      <c r="F85" s="21"/>
      <c r="G85" s="21"/>
      <c r="H85" s="21"/>
    </row>
    <row r="86" hidden="1" spans="1:8">
      <c r="A86" s="20"/>
      <c r="B86" s="30"/>
      <c r="C86" s="32"/>
      <c r="D86" s="21"/>
      <c r="E86" s="21"/>
      <c r="F86" s="21"/>
      <c r="G86" s="21"/>
      <c r="H86" s="21"/>
    </row>
    <row r="87" hidden="1" spans="1:8">
      <c r="A87" s="20"/>
      <c r="B87" s="30"/>
      <c r="C87" s="32"/>
      <c r="D87" s="21"/>
      <c r="E87" s="21"/>
      <c r="F87" s="21"/>
      <c r="G87" s="21"/>
      <c r="H87" s="21"/>
    </row>
    <row r="88" hidden="1" spans="1:8">
      <c r="A88" s="20"/>
      <c r="B88" s="30"/>
      <c r="C88" s="32"/>
      <c r="D88" s="21"/>
      <c r="E88" s="21"/>
      <c r="F88" s="21"/>
      <c r="G88" s="21"/>
      <c r="H88" s="21"/>
    </row>
    <row r="89" hidden="1" spans="1:8">
      <c r="A89" s="20"/>
      <c r="B89" s="30"/>
      <c r="C89" s="32"/>
      <c r="D89" s="21"/>
      <c r="E89" s="21"/>
      <c r="F89" s="21"/>
      <c r="G89" s="21"/>
      <c r="H89" s="21"/>
    </row>
    <row r="90" hidden="1" spans="1:8">
      <c r="A90" s="20"/>
      <c r="B90" s="30"/>
      <c r="C90" s="32"/>
      <c r="D90" s="21"/>
      <c r="E90" s="21"/>
      <c r="F90" s="21"/>
      <c r="G90" s="21"/>
      <c r="H90" s="21"/>
    </row>
    <row r="91" hidden="1" spans="1:8">
      <c r="A91" s="20"/>
      <c r="B91" s="30" t="s">
        <v>387</v>
      </c>
      <c r="C91" s="32"/>
      <c r="D91" s="21"/>
      <c r="E91" s="21"/>
      <c r="F91" s="21"/>
      <c r="G91" s="21"/>
      <c r="H91" s="21"/>
    </row>
    <row r="92" hidden="1"/>
    <row r="93" s="5" customFormat="1" ht="14.25" hidden="1" spans="1:11">
      <c r="A93" s="5" t="s">
        <v>427</v>
      </c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="5" customFormat="1" ht="14.25" hidden="1" spans="1:11">
      <c r="A94" s="5" t="s">
        <v>428</v>
      </c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hidden="1"/>
    <row r="96" ht="24" hidden="1" spans="1:9">
      <c r="A96" s="25" t="s">
        <v>389</v>
      </c>
      <c r="B96" s="27" t="s">
        <v>560</v>
      </c>
      <c r="C96" s="29"/>
      <c r="D96" s="18" t="s">
        <v>429</v>
      </c>
      <c r="E96" s="18" t="s">
        <v>430</v>
      </c>
      <c r="F96" s="18" t="s">
        <v>431</v>
      </c>
      <c r="G96" s="18" t="s">
        <v>410</v>
      </c>
      <c r="H96" s="18" t="s">
        <v>411</v>
      </c>
      <c r="I96" s="18" t="s">
        <v>412</v>
      </c>
    </row>
    <row r="97" hidden="1" spans="1:9">
      <c r="A97" s="19">
        <v>1</v>
      </c>
      <c r="B97" s="30">
        <v>2</v>
      </c>
      <c r="C97" s="32"/>
      <c r="D97" s="19">
        <v>3</v>
      </c>
      <c r="E97" s="19">
        <v>4</v>
      </c>
      <c r="F97" s="19">
        <v>5</v>
      </c>
      <c r="G97" s="19">
        <v>6</v>
      </c>
      <c r="H97" s="19">
        <v>7</v>
      </c>
      <c r="I97" s="19">
        <v>8</v>
      </c>
    </row>
    <row r="98" hidden="1" spans="1:9">
      <c r="A98" s="20"/>
      <c r="B98" s="47" t="s">
        <v>561</v>
      </c>
      <c r="C98" s="48"/>
      <c r="D98" s="21"/>
      <c r="E98" s="21"/>
      <c r="F98" s="21"/>
      <c r="G98" s="36"/>
      <c r="H98" s="36"/>
      <c r="I98" s="36"/>
    </row>
    <row r="99" hidden="1" spans="1:9">
      <c r="A99" s="20"/>
      <c r="B99" s="47" t="s">
        <v>434</v>
      </c>
      <c r="C99" s="48"/>
      <c r="D99" s="21"/>
      <c r="E99" s="21">
        <v>12</v>
      </c>
      <c r="F99" s="21">
        <v>247.8</v>
      </c>
      <c r="G99" s="36">
        <f>D99*E99*F99</f>
        <v>0</v>
      </c>
      <c r="H99" s="36"/>
      <c r="I99" s="36"/>
    </row>
    <row r="100" hidden="1" spans="1:9">
      <c r="A100" s="20"/>
      <c r="B100" s="47" t="s">
        <v>435</v>
      </c>
      <c r="C100" s="48"/>
      <c r="D100" s="21"/>
      <c r="E100" s="21">
        <v>12</v>
      </c>
      <c r="F100" s="21">
        <v>0.61</v>
      </c>
      <c r="G100" s="36">
        <f t="shared" ref="G100:G101" si="12">D100*E100*F100</f>
        <v>0</v>
      </c>
      <c r="H100" s="36"/>
      <c r="I100" s="36"/>
    </row>
    <row r="101" hidden="1" spans="1:9">
      <c r="A101" s="20"/>
      <c r="B101" s="47" t="s">
        <v>436</v>
      </c>
      <c r="C101" s="48"/>
      <c r="D101" s="21"/>
      <c r="E101" s="21">
        <v>12</v>
      </c>
      <c r="F101" s="21">
        <v>2341.43</v>
      </c>
      <c r="G101" s="36">
        <f t="shared" si="12"/>
        <v>0</v>
      </c>
      <c r="H101" s="36"/>
      <c r="I101" s="36"/>
    </row>
    <row r="102" hidden="1" spans="1:9">
      <c r="A102" s="20"/>
      <c r="B102" s="30"/>
      <c r="C102" s="32"/>
      <c r="D102" s="21"/>
      <c r="E102" s="21"/>
      <c r="F102" s="21"/>
      <c r="G102" s="36"/>
      <c r="H102" s="36"/>
      <c r="I102" s="36"/>
    </row>
    <row r="103" hidden="1" spans="1:9">
      <c r="A103" s="20"/>
      <c r="B103" s="30"/>
      <c r="C103" s="32"/>
      <c r="D103" s="21"/>
      <c r="E103" s="21"/>
      <c r="F103" s="21"/>
      <c r="G103" s="36"/>
      <c r="H103" s="36"/>
      <c r="I103" s="36"/>
    </row>
    <row r="104" s="4" customFormat="1" ht="14.25" hidden="1" spans="1:11">
      <c r="A104" s="23"/>
      <c r="B104" s="45" t="s">
        <v>387</v>
      </c>
      <c r="C104" s="46"/>
      <c r="D104" s="24"/>
      <c r="E104" s="24"/>
      <c r="F104" s="24"/>
      <c r="G104" s="39">
        <f>ROUND(SUM(G98:G103),0)</f>
        <v>0</v>
      </c>
      <c r="H104" s="39">
        <f t="shared" ref="H104:I104" si="13">SUM(H98:H103)</f>
        <v>0</v>
      </c>
      <c r="I104" s="39">
        <f t="shared" si="13"/>
        <v>0</v>
      </c>
      <c r="J104" s="44"/>
      <c r="K104" s="44"/>
    </row>
    <row r="105" hidden="1"/>
    <row r="106" s="5" customFormat="1" ht="14.25" hidden="1" spans="1:11">
      <c r="A106" s="5" t="s">
        <v>437</v>
      </c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hidden="1"/>
    <row r="108" ht="36" hidden="1" spans="1:8">
      <c r="A108" s="25" t="s">
        <v>389</v>
      </c>
      <c r="B108" s="27" t="s">
        <v>416</v>
      </c>
      <c r="C108" s="29"/>
      <c r="D108" s="18" t="s">
        <v>438</v>
      </c>
      <c r="E108" s="18" t="s">
        <v>439</v>
      </c>
      <c r="F108" s="18" t="s">
        <v>410</v>
      </c>
      <c r="G108" s="18" t="s">
        <v>411</v>
      </c>
      <c r="H108" s="18" t="s">
        <v>412</v>
      </c>
    </row>
    <row r="109" hidden="1" spans="1:8">
      <c r="A109" s="19">
        <v>1</v>
      </c>
      <c r="B109" s="30">
        <v>2</v>
      </c>
      <c r="C109" s="32"/>
      <c r="D109" s="19">
        <v>3</v>
      </c>
      <c r="E109" s="19">
        <v>4</v>
      </c>
      <c r="F109" s="19">
        <v>5</v>
      </c>
      <c r="G109" s="19">
        <v>6</v>
      </c>
      <c r="H109" s="19">
        <v>7</v>
      </c>
    </row>
    <row r="110" hidden="1" spans="1:8">
      <c r="A110" s="20">
        <v>1</v>
      </c>
      <c r="B110" s="30" t="s">
        <v>440</v>
      </c>
      <c r="C110" s="32"/>
      <c r="D110" s="21"/>
      <c r="E110" s="21"/>
      <c r="F110" s="21">
        <f>D110*E110</f>
        <v>0</v>
      </c>
      <c r="G110" s="21"/>
      <c r="H110" s="21"/>
    </row>
    <row r="111" hidden="1" spans="1:8">
      <c r="A111" s="20"/>
      <c r="B111" s="30"/>
      <c r="C111" s="32"/>
      <c r="D111" s="21"/>
      <c r="E111" s="21"/>
      <c r="F111" s="21">
        <f t="shared" ref="F111:F115" si="14">D111*E111</f>
        <v>0</v>
      </c>
      <c r="G111" s="21"/>
      <c r="H111" s="21"/>
    </row>
    <row r="112" hidden="1" spans="1:8">
      <c r="A112" s="20"/>
      <c r="B112" s="30"/>
      <c r="C112" s="32"/>
      <c r="D112" s="21"/>
      <c r="E112" s="21"/>
      <c r="F112" s="21">
        <f t="shared" si="14"/>
        <v>0</v>
      </c>
      <c r="G112" s="21"/>
      <c r="H112" s="21"/>
    </row>
    <row r="113" hidden="1" spans="1:8">
      <c r="A113" s="20"/>
      <c r="B113" s="30"/>
      <c r="C113" s="32"/>
      <c r="D113" s="21"/>
      <c r="E113" s="21"/>
      <c r="F113" s="21">
        <f t="shared" si="14"/>
        <v>0</v>
      </c>
      <c r="G113" s="21"/>
      <c r="H113" s="21"/>
    </row>
    <row r="114" hidden="1" spans="1:8">
      <c r="A114" s="20"/>
      <c r="B114" s="30"/>
      <c r="C114" s="32"/>
      <c r="D114" s="21"/>
      <c r="E114" s="21"/>
      <c r="F114" s="21">
        <f t="shared" si="14"/>
        <v>0</v>
      </c>
      <c r="G114" s="21"/>
      <c r="H114" s="21"/>
    </row>
    <row r="115" hidden="1" spans="1:8">
      <c r="A115" s="20"/>
      <c r="B115" s="30"/>
      <c r="C115" s="32"/>
      <c r="D115" s="21"/>
      <c r="E115" s="21"/>
      <c r="F115" s="21">
        <f t="shared" si="14"/>
        <v>0</v>
      </c>
      <c r="G115" s="21"/>
      <c r="H115" s="21"/>
    </row>
    <row r="116" s="4" customFormat="1" ht="14.25" hidden="1" spans="1:11">
      <c r="A116" s="23"/>
      <c r="B116" s="45" t="s">
        <v>387</v>
      </c>
      <c r="C116" s="46"/>
      <c r="D116" s="24"/>
      <c r="E116" s="24"/>
      <c r="F116" s="24">
        <f>SUM(F110:F115)</f>
        <v>0</v>
      </c>
      <c r="G116" s="24">
        <f t="shared" ref="G116:H116" si="15">SUM(G110:G115)</f>
        <v>0</v>
      </c>
      <c r="H116" s="24">
        <f t="shared" si="15"/>
        <v>0</v>
      </c>
      <c r="I116" s="44"/>
      <c r="J116" s="44"/>
      <c r="K116" s="44"/>
    </row>
    <row r="117" hidden="1"/>
    <row r="118" s="5" customFormat="1" ht="14.25" hidden="1" spans="1:11">
      <c r="A118" s="5" t="s">
        <v>441</v>
      </c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hidden="1"/>
    <row r="120" ht="36" hidden="1" spans="1:9">
      <c r="A120" s="25" t="s">
        <v>389</v>
      </c>
      <c r="B120" s="27" t="s">
        <v>24</v>
      </c>
      <c r="C120" s="29"/>
      <c r="D120" s="18" t="s">
        <v>442</v>
      </c>
      <c r="E120" s="18" t="s">
        <v>443</v>
      </c>
      <c r="F120" s="18" t="s">
        <v>444</v>
      </c>
      <c r="G120" s="18" t="s">
        <v>410</v>
      </c>
      <c r="H120" s="18" t="s">
        <v>411</v>
      </c>
      <c r="I120" s="18" t="s">
        <v>412</v>
      </c>
    </row>
    <row r="121" hidden="1" spans="1:9">
      <c r="A121" s="19">
        <v>1</v>
      </c>
      <c r="B121" s="30">
        <v>2</v>
      </c>
      <c r="C121" s="32"/>
      <c r="D121" s="19">
        <v>3</v>
      </c>
      <c r="E121" s="19">
        <v>4</v>
      </c>
      <c r="F121" s="19">
        <v>5</v>
      </c>
      <c r="G121" s="19">
        <v>6</v>
      </c>
      <c r="H121" s="19">
        <v>7</v>
      </c>
      <c r="I121" s="19">
        <v>8</v>
      </c>
    </row>
    <row r="122" hidden="1" spans="1:9">
      <c r="A122" s="20"/>
      <c r="B122" s="30" t="s">
        <v>562</v>
      </c>
      <c r="C122" s="32"/>
      <c r="D122" s="21"/>
      <c r="E122" s="21"/>
      <c r="F122" s="21"/>
      <c r="G122" s="21">
        <f>D122*E122*F122</f>
        <v>0</v>
      </c>
      <c r="H122" s="21"/>
      <c r="I122" s="21"/>
    </row>
    <row r="123" hidden="1" spans="1:9">
      <c r="A123" s="20"/>
      <c r="B123" s="30"/>
      <c r="C123" s="32"/>
      <c r="D123" s="21"/>
      <c r="E123" s="21"/>
      <c r="F123" s="21"/>
      <c r="G123" s="21">
        <f t="shared" ref="G123:G127" si="16">D123*E123*F123</f>
        <v>0</v>
      </c>
      <c r="H123" s="21"/>
      <c r="I123" s="21"/>
    </row>
    <row r="124" hidden="1" spans="1:9">
      <c r="A124" s="20"/>
      <c r="B124" s="30" t="s">
        <v>562</v>
      </c>
      <c r="C124" s="32"/>
      <c r="D124" s="21"/>
      <c r="E124" s="21"/>
      <c r="F124" s="21"/>
      <c r="G124" s="21">
        <f t="shared" si="16"/>
        <v>0</v>
      </c>
      <c r="H124" s="21"/>
      <c r="I124" s="21"/>
    </row>
    <row r="125" hidden="1" spans="1:9">
      <c r="A125" s="20"/>
      <c r="B125" s="30"/>
      <c r="C125" s="32"/>
      <c r="D125" s="21"/>
      <c r="E125" s="21"/>
      <c r="F125" s="21"/>
      <c r="G125" s="21">
        <f t="shared" si="16"/>
        <v>0</v>
      </c>
      <c r="H125" s="21"/>
      <c r="I125" s="21"/>
    </row>
    <row r="126" hidden="1" spans="1:9">
      <c r="A126" s="20"/>
      <c r="B126" s="30" t="s">
        <v>562</v>
      </c>
      <c r="C126" s="32"/>
      <c r="D126" s="21"/>
      <c r="E126" s="21"/>
      <c r="F126" s="21"/>
      <c r="G126" s="21">
        <f t="shared" si="16"/>
        <v>0</v>
      </c>
      <c r="H126" s="21"/>
      <c r="I126" s="21"/>
    </row>
    <row r="127" hidden="1" spans="1:9">
      <c r="A127" s="20"/>
      <c r="B127" s="30"/>
      <c r="C127" s="32"/>
      <c r="D127" s="21"/>
      <c r="E127" s="21"/>
      <c r="F127" s="21"/>
      <c r="G127" s="21">
        <f t="shared" si="16"/>
        <v>0</v>
      </c>
      <c r="H127" s="21"/>
      <c r="I127" s="21"/>
    </row>
    <row r="128" s="4" customFormat="1" ht="14.25" hidden="1" spans="1:11">
      <c r="A128" s="23"/>
      <c r="B128" s="45" t="s">
        <v>387</v>
      </c>
      <c r="C128" s="46"/>
      <c r="D128" s="24"/>
      <c r="E128" s="24"/>
      <c r="F128" s="24"/>
      <c r="G128" s="24">
        <f>SUM(G122:G127)</f>
        <v>0</v>
      </c>
      <c r="H128" s="24">
        <f t="shared" ref="H128:I128" si="17">SUM(H122:H127)</f>
        <v>0</v>
      </c>
      <c r="I128" s="24">
        <f t="shared" si="17"/>
        <v>0</v>
      </c>
      <c r="J128" s="44"/>
      <c r="K128" s="44"/>
    </row>
    <row r="129" hidden="1"/>
    <row r="130" s="5" customFormat="1" ht="14.25" hidden="1" spans="1:11">
      <c r="A130" s="5" t="s">
        <v>461</v>
      </c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hidden="1"/>
    <row r="132" ht="48" hidden="1" spans="1:8">
      <c r="A132" s="25" t="s">
        <v>389</v>
      </c>
      <c r="B132" s="27" t="s">
        <v>24</v>
      </c>
      <c r="C132" s="29"/>
      <c r="D132" s="18" t="s">
        <v>462</v>
      </c>
      <c r="E132" s="18" t="s">
        <v>463</v>
      </c>
      <c r="F132" s="18" t="s">
        <v>464</v>
      </c>
      <c r="G132" s="18" t="s">
        <v>464</v>
      </c>
      <c r="H132" s="18" t="s">
        <v>464</v>
      </c>
    </row>
    <row r="133" hidden="1" spans="1:8">
      <c r="A133" s="19">
        <v>1</v>
      </c>
      <c r="B133" s="30">
        <v>2</v>
      </c>
      <c r="C133" s="32"/>
      <c r="D133" s="19">
        <v>3</v>
      </c>
      <c r="E133" s="19">
        <v>4</v>
      </c>
      <c r="F133" s="19">
        <v>5</v>
      </c>
      <c r="G133" s="19">
        <v>6</v>
      </c>
      <c r="H133" s="19">
        <v>7</v>
      </c>
    </row>
    <row r="134" hidden="1" spans="1:8">
      <c r="A134" s="20"/>
      <c r="B134" s="30"/>
      <c r="C134" s="32"/>
      <c r="D134" s="21"/>
      <c r="E134" s="21"/>
      <c r="F134" s="21"/>
      <c r="G134" s="21"/>
      <c r="H134" s="21"/>
    </row>
    <row r="135" hidden="1" spans="1:8">
      <c r="A135" s="20"/>
      <c r="B135" s="30"/>
      <c r="C135" s="32"/>
      <c r="D135" s="21"/>
      <c r="E135" s="21"/>
      <c r="F135" s="21"/>
      <c r="G135" s="21"/>
      <c r="H135" s="21"/>
    </row>
    <row r="136" hidden="1" spans="1:8">
      <c r="A136" s="20"/>
      <c r="B136" s="30"/>
      <c r="C136" s="32"/>
      <c r="D136" s="21"/>
      <c r="E136" s="21"/>
      <c r="F136" s="21"/>
      <c r="G136" s="21"/>
      <c r="H136" s="21"/>
    </row>
    <row r="137" hidden="1" spans="1:8">
      <c r="A137" s="20"/>
      <c r="B137" s="30"/>
      <c r="C137" s="32"/>
      <c r="D137" s="21"/>
      <c r="E137" s="21"/>
      <c r="F137" s="21"/>
      <c r="G137" s="21"/>
      <c r="H137" s="21"/>
    </row>
    <row r="138" hidden="1" spans="1:8">
      <c r="A138" s="20"/>
      <c r="B138" s="30"/>
      <c r="C138" s="32"/>
      <c r="D138" s="21"/>
      <c r="E138" s="21"/>
      <c r="F138" s="21"/>
      <c r="G138" s="21"/>
      <c r="H138" s="21"/>
    </row>
    <row r="139" hidden="1" spans="1:8">
      <c r="A139" s="20"/>
      <c r="B139" s="30"/>
      <c r="C139" s="32"/>
      <c r="D139" s="21"/>
      <c r="E139" s="21"/>
      <c r="F139" s="21"/>
      <c r="G139" s="21"/>
      <c r="H139" s="21"/>
    </row>
    <row r="140" s="4" customFormat="1" ht="14.25" hidden="1" spans="1:11">
      <c r="A140" s="23"/>
      <c r="B140" s="45" t="s">
        <v>387</v>
      </c>
      <c r="C140" s="46"/>
      <c r="D140" s="24"/>
      <c r="E140" s="24"/>
      <c r="F140" s="24">
        <f>SUM(F134:F139)</f>
        <v>0</v>
      </c>
      <c r="G140" s="24">
        <f t="shared" ref="G140:H140" si="18">SUM(G134:G139)</f>
        <v>0</v>
      </c>
      <c r="H140" s="24">
        <f t="shared" si="18"/>
        <v>0</v>
      </c>
      <c r="I140" s="44"/>
      <c r="J140" s="44"/>
      <c r="K140" s="44"/>
    </row>
    <row r="141" hidden="1"/>
    <row r="142" s="5" customFormat="1" ht="14.25" hidden="1" spans="1:11">
      <c r="A142" s="5" t="s">
        <v>465</v>
      </c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hidden="1"/>
    <row r="144" ht="24" hidden="1" spans="1:8">
      <c r="A144" s="25" t="s">
        <v>389</v>
      </c>
      <c r="B144" s="27" t="s">
        <v>24</v>
      </c>
      <c r="C144" s="29"/>
      <c r="D144" s="18" t="s">
        <v>466</v>
      </c>
      <c r="E144" s="18" t="s">
        <v>467</v>
      </c>
      <c r="F144" s="18" t="s">
        <v>410</v>
      </c>
      <c r="G144" s="18" t="s">
        <v>411</v>
      </c>
      <c r="H144" s="18" t="s">
        <v>412</v>
      </c>
    </row>
    <row r="145" hidden="1" spans="1:8">
      <c r="A145" s="19">
        <v>1</v>
      </c>
      <c r="B145" s="30">
        <v>2</v>
      </c>
      <c r="C145" s="32"/>
      <c r="D145" s="19">
        <v>3</v>
      </c>
      <c r="E145" s="19">
        <v>4</v>
      </c>
      <c r="F145" s="19">
        <v>5</v>
      </c>
      <c r="G145" s="19">
        <v>6</v>
      </c>
      <c r="H145" s="19">
        <v>7</v>
      </c>
    </row>
    <row r="146" hidden="1" spans="1:8">
      <c r="A146" s="20">
        <v>1</v>
      </c>
      <c r="B146" s="30" t="s">
        <v>563</v>
      </c>
      <c r="C146" s="32"/>
      <c r="D146" s="21"/>
      <c r="E146" s="21">
        <v>2460</v>
      </c>
      <c r="F146" s="21">
        <f>E146*D146</f>
        <v>0</v>
      </c>
      <c r="G146" s="21"/>
      <c r="H146" s="21"/>
    </row>
    <row r="147" hidden="1" spans="1:8">
      <c r="A147" s="20"/>
      <c r="B147" s="30" t="s">
        <v>564</v>
      </c>
      <c r="C147" s="32"/>
      <c r="D147" s="21"/>
      <c r="E147" s="21"/>
      <c r="F147" s="21">
        <f t="shared" ref="F147:F163" si="19">E147*D147</f>
        <v>0</v>
      </c>
      <c r="G147" s="21"/>
      <c r="H147" s="21"/>
    </row>
    <row r="148" hidden="1" spans="1:8">
      <c r="A148" s="20"/>
      <c r="B148" s="30"/>
      <c r="C148" s="32"/>
      <c r="D148" s="21"/>
      <c r="E148" s="21"/>
      <c r="F148" s="21">
        <f t="shared" si="19"/>
        <v>0</v>
      </c>
      <c r="G148" s="21"/>
      <c r="H148" s="21"/>
    </row>
    <row r="149" hidden="1" spans="1:8">
      <c r="A149" s="20"/>
      <c r="B149" s="30"/>
      <c r="C149" s="32"/>
      <c r="D149" s="21"/>
      <c r="E149" s="21"/>
      <c r="F149" s="21">
        <f t="shared" si="19"/>
        <v>0</v>
      </c>
      <c r="G149" s="21"/>
      <c r="H149" s="21"/>
    </row>
    <row r="150" hidden="1" spans="1:8">
      <c r="A150" s="20"/>
      <c r="B150" s="30"/>
      <c r="C150" s="32"/>
      <c r="D150" s="21"/>
      <c r="E150" s="21"/>
      <c r="F150" s="21">
        <f t="shared" si="19"/>
        <v>0</v>
      </c>
      <c r="G150" s="21"/>
      <c r="H150" s="21"/>
    </row>
    <row r="151" hidden="1" spans="1:8">
      <c r="A151" s="20"/>
      <c r="B151" s="30"/>
      <c r="C151" s="32"/>
      <c r="D151" s="21"/>
      <c r="E151" s="21"/>
      <c r="F151" s="21">
        <f t="shared" si="19"/>
        <v>0</v>
      </c>
      <c r="G151" s="21"/>
      <c r="H151" s="21"/>
    </row>
    <row r="152" hidden="1" spans="1:8">
      <c r="A152" s="20"/>
      <c r="B152" s="30"/>
      <c r="C152" s="32"/>
      <c r="D152" s="21"/>
      <c r="E152" s="21"/>
      <c r="F152" s="21">
        <f t="shared" si="19"/>
        <v>0</v>
      </c>
      <c r="G152" s="21"/>
      <c r="H152" s="21"/>
    </row>
    <row r="153" hidden="1" spans="1:8">
      <c r="A153" s="20"/>
      <c r="B153" s="30"/>
      <c r="C153" s="32"/>
      <c r="D153" s="21"/>
      <c r="E153" s="21"/>
      <c r="F153" s="21">
        <f t="shared" si="19"/>
        <v>0</v>
      </c>
      <c r="G153" s="21"/>
      <c r="H153" s="21"/>
    </row>
    <row r="154" hidden="1" spans="1:8">
      <c r="A154" s="20"/>
      <c r="B154" s="30"/>
      <c r="C154" s="32"/>
      <c r="D154" s="21"/>
      <c r="E154" s="21"/>
      <c r="F154" s="21">
        <f t="shared" si="19"/>
        <v>0</v>
      </c>
      <c r="G154" s="21"/>
      <c r="H154" s="21"/>
    </row>
    <row r="155" hidden="1" spans="1:8">
      <c r="A155" s="20"/>
      <c r="B155" s="30"/>
      <c r="C155" s="32"/>
      <c r="D155" s="21"/>
      <c r="E155" s="21"/>
      <c r="F155" s="21">
        <f t="shared" si="19"/>
        <v>0</v>
      </c>
      <c r="G155" s="21"/>
      <c r="H155" s="21"/>
    </row>
    <row r="156" hidden="1" spans="1:8">
      <c r="A156" s="20"/>
      <c r="B156" s="30"/>
      <c r="C156" s="32"/>
      <c r="D156" s="21"/>
      <c r="E156" s="21"/>
      <c r="F156" s="21">
        <f t="shared" si="19"/>
        <v>0</v>
      </c>
      <c r="G156" s="21"/>
      <c r="H156" s="21"/>
    </row>
    <row r="157" hidden="1" spans="1:8">
      <c r="A157" s="20"/>
      <c r="B157" s="30"/>
      <c r="C157" s="32"/>
      <c r="D157" s="21"/>
      <c r="E157" s="21"/>
      <c r="F157" s="21">
        <f t="shared" si="19"/>
        <v>0</v>
      </c>
      <c r="G157" s="21"/>
      <c r="H157" s="21"/>
    </row>
    <row r="158" hidden="1" spans="1:8">
      <c r="A158" s="20"/>
      <c r="B158" s="30"/>
      <c r="C158" s="32"/>
      <c r="D158" s="21"/>
      <c r="E158" s="21"/>
      <c r="F158" s="21">
        <f t="shared" si="19"/>
        <v>0</v>
      </c>
      <c r="G158" s="21"/>
      <c r="H158" s="21"/>
    </row>
    <row r="159" hidden="1" spans="1:8">
      <c r="A159" s="20"/>
      <c r="B159" s="30"/>
      <c r="C159" s="32"/>
      <c r="D159" s="21"/>
      <c r="E159" s="21"/>
      <c r="F159" s="21">
        <f t="shared" si="19"/>
        <v>0</v>
      </c>
      <c r="G159" s="21"/>
      <c r="H159" s="21"/>
    </row>
    <row r="160" hidden="1" spans="1:8">
      <c r="A160" s="20"/>
      <c r="B160" s="30"/>
      <c r="C160" s="32"/>
      <c r="D160" s="21"/>
      <c r="E160" s="21"/>
      <c r="F160" s="21">
        <f t="shared" si="19"/>
        <v>0</v>
      </c>
      <c r="G160" s="21"/>
      <c r="H160" s="21"/>
    </row>
    <row r="161" hidden="1" spans="1:8">
      <c r="A161" s="20"/>
      <c r="B161" s="30"/>
      <c r="C161" s="32"/>
      <c r="D161" s="21"/>
      <c r="E161" s="21"/>
      <c r="F161" s="21">
        <f t="shared" si="19"/>
        <v>0</v>
      </c>
      <c r="G161" s="21"/>
      <c r="H161" s="21"/>
    </row>
    <row r="162" hidden="1" spans="1:8">
      <c r="A162" s="20"/>
      <c r="B162" s="30"/>
      <c r="C162" s="32"/>
      <c r="D162" s="21"/>
      <c r="E162" s="21"/>
      <c r="F162" s="21">
        <f t="shared" si="19"/>
        <v>0</v>
      </c>
      <c r="G162" s="21"/>
      <c r="H162" s="21"/>
    </row>
    <row r="163" hidden="1" spans="1:8">
      <c r="A163" s="20"/>
      <c r="B163" s="30"/>
      <c r="C163" s="32"/>
      <c r="D163" s="21"/>
      <c r="E163" s="21"/>
      <c r="F163" s="21">
        <f t="shared" si="19"/>
        <v>0</v>
      </c>
      <c r="G163" s="21"/>
      <c r="H163" s="21"/>
    </row>
    <row r="164" s="4" customFormat="1" ht="14.25" hidden="1" spans="1:11">
      <c r="A164" s="23"/>
      <c r="B164" s="45" t="s">
        <v>387</v>
      </c>
      <c r="C164" s="46"/>
      <c r="D164" s="24"/>
      <c r="E164" s="24"/>
      <c r="F164" s="24">
        <f>SUM(F146:F163)</f>
        <v>0</v>
      </c>
      <c r="G164" s="24">
        <f t="shared" ref="G164:H164" si="20">SUM(G146:G163)</f>
        <v>0</v>
      </c>
      <c r="H164" s="24">
        <f t="shared" si="20"/>
        <v>0</v>
      </c>
      <c r="I164" s="44"/>
      <c r="J164" s="44"/>
      <c r="K164" s="44"/>
    </row>
    <row r="165" hidden="1"/>
    <row r="166" s="5" customFormat="1" ht="14.25" hidden="1" spans="1:11">
      <c r="A166" s="5" t="s">
        <v>502</v>
      </c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hidden="1"/>
    <row r="168" ht="24" hidden="1" spans="1:8">
      <c r="A168" s="25" t="s">
        <v>389</v>
      </c>
      <c r="B168" s="27" t="s">
        <v>416</v>
      </c>
      <c r="C168" s="29"/>
      <c r="D168" s="18" t="s">
        <v>466</v>
      </c>
      <c r="E168" s="18" t="s">
        <v>467</v>
      </c>
      <c r="F168" s="18" t="s">
        <v>410</v>
      </c>
      <c r="G168" s="18" t="s">
        <v>411</v>
      </c>
      <c r="H168" s="18" t="s">
        <v>412</v>
      </c>
    </row>
    <row r="169" hidden="1" spans="1:8">
      <c r="A169" s="19">
        <v>1</v>
      </c>
      <c r="B169" s="30">
        <v>2</v>
      </c>
      <c r="C169" s="32"/>
      <c r="D169" s="19">
        <v>3</v>
      </c>
      <c r="E169" s="19">
        <v>4</v>
      </c>
      <c r="F169" s="19">
        <v>5</v>
      </c>
      <c r="G169" s="19">
        <v>6</v>
      </c>
      <c r="H169" s="19">
        <v>7</v>
      </c>
    </row>
    <row r="170" hidden="1" spans="1:8">
      <c r="A170" s="20">
        <v>1</v>
      </c>
      <c r="B170" s="30" t="s">
        <v>565</v>
      </c>
      <c r="C170" s="32"/>
      <c r="D170" s="21"/>
      <c r="E170" s="21"/>
      <c r="F170" s="21">
        <f>E170*D170</f>
        <v>0</v>
      </c>
      <c r="G170" s="21"/>
      <c r="H170" s="21"/>
    </row>
    <row r="171" hidden="1" spans="1:8">
      <c r="A171" s="20"/>
      <c r="B171" s="30" t="s">
        <v>566</v>
      </c>
      <c r="C171" s="32"/>
      <c r="D171" s="21"/>
      <c r="E171" s="21"/>
      <c r="F171" s="21">
        <f t="shared" ref="F171:F189" si="21">E171*D171</f>
        <v>0</v>
      </c>
      <c r="G171" s="21"/>
      <c r="H171" s="21"/>
    </row>
    <row r="172" hidden="1" spans="1:8">
      <c r="A172" s="20"/>
      <c r="B172" s="30" t="s">
        <v>567</v>
      </c>
      <c r="C172" s="32"/>
      <c r="D172" s="21"/>
      <c r="E172" s="21">
        <v>14400</v>
      </c>
      <c r="F172" s="21">
        <f t="shared" si="21"/>
        <v>0</v>
      </c>
      <c r="G172" s="21"/>
      <c r="H172" s="21"/>
    </row>
    <row r="173" hidden="1" spans="1:8">
      <c r="A173" s="20"/>
      <c r="B173" s="30"/>
      <c r="C173" s="32"/>
      <c r="D173" s="21"/>
      <c r="E173" s="21"/>
      <c r="F173" s="21">
        <f t="shared" si="21"/>
        <v>0</v>
      </c>
      <c r="G173" s="21"/>
      <c r="H173" s="21"/>
    </row>
    <row r="174" hidden="1" spans="1:8">
      <c r="A174" s="20"/>
      <c r="B174" s="30"/>
      <c r="C174" s="32"/>
      <c r="D174" s="21"/>
      <c r="E174" s="21"/>
      <c r="F174" s="21">
        <f t="shared" si="21"/>
        <v>0</v>
      </c>
      <c r="G174" s="21"/>
      <c r="H174" s="21"/>
    </row>
    <row r="175" hidden="1" spans="1:8">
      <c r="A175" s="20"/>
      <c r="B175" s="30"/>
      <c r="C175" s="32"/>
      <c r="D175" s="21"/>
      <c r="E175" s="21"/>
      <c r="F175" s="21">
        <f t="shared" si="21"/>
        <v>0</v>
      </c>
      <c r="G175" s="21"/>
      <c r="H175" s="21"/>
    </row>
    <row r="176" hidden="1" spans="1:8">
      <c r="A176" s="20"/>
      <c r="B176" s="30"/>
      <c r="C176" s="32"/>
      <c r="D176" s="21"/>
      <c r="E176" s="21"/>
      <c r="F176" s="21">
        <f t="shared" si="21"/>
        <v>0</v>
      </c>
      <c r="G176" s="21"/>
      <c r="H176" s="21"/>
    </row>
    <row r="177" hidden="1" spans="1:8">
      <c r="A177" s="20"/>
      <c r="B177" s="30"/>
      <c r="C177" s="32"/>
      <c r="D177" s="21"/>
      <c r="E177" s="21"/>
      <c r="F177" s="21">
        <f t="shared" si="21"/>
        <v>0</v>
      </c>
      <c r="G177" s="21"/>
      <c r="H177" s="21"/>
    </row>
    <row r="178" hidden="1" spans="1:8">
      <c r="A178" s="20"/>
      <c r="B178" s="30"/>
      <c r="C178" s="32"/>
      <c r="D178" s="21"/>
      <c r="E178" s="21"/>
      <c r="F178" s="21">
        <f t="shared" si="21"/>
        <v>0</v>
      </c>
      <c r="G178" s="21"/>
      <c r="H178" s="21"/>
    </row>
    <row r="179" hidden="1" spans="1:8">
      <c r="A179" s="20"/>
      <c r="B179" s="30"/>
      <c r="C179" s="32"/>
      <c r="D179" s="21"/>
      <c r="E179" s="21"/>
      <c r="F179" s="21">
        <f t="shared" si="21"/>
        <v>0</v>
      </c>
      <c r="G179" s="21"/>
      <c r="H179" s="21"/>
    </row>
    <row r="180" hidden="1" spans="1:8">
      <c r="A180" s="20"/>
      <c r="B180" s="30"/>
      <c r="C180" s="32"/>
      <c r="D180" s="21"/>
      <c r="E180" s="21"/>
      <c r="F180" s="21">
        <f t="shared" si="21"/>
        <v>0</v>
      </c>
      <c r="G180" s="21"/>
      <c r="H180" s="21"/>
    </row>
    <row r="181" hidden="1" spans="1:8">
      <c r="A181" s="20"/>
      <c r="B181" s="30"/>
      <c r="C181" s="32"/>
      <c r="D181" s="21"/>
      <c r="E181" s="21"/>
      <c r="F181" s="21">
        <f t="shared" si="21"/>
        <v>0</v>
      </c>
      <c r="G181" s="21"/>
      <c r="H181" s="21"/>
    </row>
    <row r="182" hidden="1" spans="1:8">
      <c r="A182" s="20"/>
      <c r="B182" s="30"/>
      <c r="C182" s="32"/>
      <c r="D182" s="21"/>
      <c r="E182" s="21"/>
      <c r="F182" s="21">
        <f t="shared" si="21"/>
        <v>0</v>
      </c>
      <c r="G182" s="21"/>
      <c r="H182" s="21"/>
    </row>
    <row r="183" hidden="1" spans="1:8">
      <c r="A183" s="20"/>
      <c r="B183" s="30"/>
      <c r="C183" s="32"/>
      <c r="D183" s="21"/>
      <c r="E183" s="21"/>
      <c r="F183" s="21">
        <f t="shared" si="21"/>
        <v>0</v>
      </c>
      <c r="G183" s="21"/>
      <c r="H183" s="21"/>
    </row>
    <row r="184" hidden="1" spans="1:8">
      <c r="A184" s="20"/>
      <c r="B184" s="30"/>
      <c r="C184" s="32"/>
      <c r="D184" s="21"/>
      <c r="E184" s="21"/>
      <c r="F184" s="21">
        <f t="shared" si="21"/>
        <v>0</v>
      </c>
      <c r="G184" s="21"/>
      <c r="H184" s="21"/>
    </row>
    <row r="185" hidden="1" spans="1:8">
      <c r="A185" s="20"/>
      <c r="B185" s="30"/>
      <c r="C185" s="32"/>
      <c r="D185" s="21"/>
      <c r="E185" s="21"/>
      <c r="F185" s="21">
        <f t="shared" si="21"/>
        <v>0</v>
      </c>
      <c r="G185" s="21"/>
      <c r="H185" s="21"/>
    </row>
    <row r="186" hidden="1" spans="1:8">
      <c r="A186" s="20"/>
      <c r="B186" s="30"/>
      <c r="C186" s="32"/>
      <c r="D186" s="21"/>
      <c r="E186" s="21"/>
      <c r="F186" s="21">
        <f t="shared" si="21"/>
        <v>0</v>
      </c>
      <c r="G186" s="21"/>
      <c r="H186" s="21"/>
    </row>
    <row r="187" hidden="1" spans="1:8">
      <c r="A187" s="20"/>
      <c r="B187" s="30"/>
      <c r="C187" s="32"/>
      <c r="D187" s="21"/>
      <c r="E187" s="21"/>
      <c r="F187" s="21">
        <f t="shared" si="21"/>
        <v>0</v>
      </c>
      <c r="G187" s="21"/>
      <c r="H187" s="21"/>
    </row>
    <row r="188" hidden="1" spans="1:8">
      <c r="A188" s="20"/>
      <c r="B188" s="30"/>
      <c r="C188" s="32"/>
      <c r="D188" s="21"/>
      <c r="E188" s="21"/>
      <c r="F188" s="21">
        <f t="shared" si="21"/>
        <v>0</v>
      </c>
      <c r="G188" s="21"/>
      <c r="H188" s="21"/>
    </row>
    <row r="189" hidden="1" spans="1:8">
      <c r="A189" s="20"/>
      <c r="B189" s="30"/>
      <c r="C189" s="32"/>
      <c r="D189" s="21"/>
      <c r="E189" s="21"/>
      <c r="F189" s="21">
        <f t="shared" si="21"/>
        <v>0</v>
      </c>
      <c r="G189" s="21"/>
      <c r="H189" s="21"/>
    </row>
    <row r="190" s="4" customFormat="1" ht="14.25" hidden="1" spans="1:11">
      <c r="A190" s="23"/>
      <c r="B190" s="45" t="s">
        <v>387</v>
      </c>
      <c r="C190" s="46"/>
      <c r="D190" s="24"/>
      <c r="E190" s="24"/>
      <c r="F190" s="24">
        <f>SUM(F170:F189)</f>
        <v>0</v>
      </c>
      <c r="G190" s="24">
        <f t="shared" ref="G190:H190" si="22">SUM(G170:G189)</f>
        <v>0</v>
      </c>
      <c r="H190" s="24">
        <f t="shared" si="22"/>
        <v>0</v>
      </c>
      <c r="I190" s="44"/>
      <c r="J190" s="44"/>
      <c r="K190" s="44"/>
    </row>
    <row r="191" hidden="1"/>
    <row r="192" s="5" customFormat="1" ht="14.25" hidden="1" spans="1:11">
      <c r="A192" s="5" t="s">
        <v>527</v>
      </c>
      <c r="B192" s="15"/>
      <c r="C192" s="15"/>
      <c r="D192" s="15"/>
      <c r="E192" s="15"/>
      <c r="F192" s="15"/>
      <c r="G192" s="15"/>
      <c r="H192" s="15"/>
      <c r="I192" s="15"/>
      <c r="J192" s="15"/>
      <c r="K192" s="15"/>
    </row>
    <row r="193" hidden="1"/>
    <row r="194" ht="24" hidden="1" spans="1:8">
      <c r="A194" s="25" t="s">
        <v>389</v>
      </c>
      <c r="B194" s="27" t="s">
        <v>416</v>
      </c>
      <c r="C194" s="29"/>
      <c r="D194" s="18" t="s">
        <v>462</v>
      </c>
      <c r="E194" s="18" t="s">
        <v>467</v>
      </c>
      <c r="F194" s="18" t="s">
        <v>410</v>
      </c>
      <c r="G194" s="18" t="s">
        <v>411</v>
      </c>
      <c r="H194" s="18" t="s">
        <v>412</v>
      </c>
    </row>
    <row r="195" hidden="1" spans="1:8">
      <c r="A195" s="19">
        <v>1</v>
      </c>
      <c r="B195" s="30">
        <v>2</v>
      </c>
      <c r="C195" s="32"/>
      <c r="D195" s="19">
        <v>3</v>
      </c>
      <c r="E195" s="19">
        <v>4</v>
      </c>
      <c r="F195" s="19">
        <v>5</v>
      </c>
      <c r="G195" s="19">
        <v>6</v>
      </c>
      <c r="H195" s="19">
        <v>7</v>
      </c>
    </row>
    <row r="196" hidden="1" spans="1:8">
      <c r="A196" s="20">
        <v>1</v>
      </c>
      <c r="B196" s="30" t="s">
        <v>568</v>
      </c>
      <c r="C196" s="32"/>
      <c r="D196" s="21"/>
      <c r="E196" s="21"/>
      <c r="F196" s="21">
        <f>D196*E196</f>
        <v>0</v>
      </c>
      <c r="G196" s="21"/>
      <c r="H196" s="21"/>
    </row>
    <row r="197" hidden="1" spans="1:8">
      <c r="A197" s="37"/>
      <c r="B197" s="47" t="s">
        <v>569</v>
      </c>
      <c r="C197" s="48"/>
      <c r="D197" s="21"/>
      <c r="E197" s="21">
        <v>100</v>
      </c>
      <c r="F197" s="21">
        <f t="shared" ref="F197:F217" si="23">D197*E197</f>
        <v>0</v>
      </c>
      <c r="G197" s="21"/>
      <c r="H197" s="21"/>
    </row>
    <row r="198" hidden="1" spans="1:8">
      <c r="A198" s="37"/>
      <c r="B198" s="30"/>
      <c r="C198" s="32"/>
      <c r="D198" s="21"/>
      <c r="E198" s="21"/>
      <c r="F198" s="21">
        <f t="shared" si="23"/>
        <v>0</v>
      </c>
      <c r="G198" s="21"/>
      <c r="H198" s="21"/>
    </row>
    <row r="199" hidden="1" spans="1:8">
      <c r="A199" s="37"/>
      <c r="B199" s="30"/>
      <c r="C199" s="32"/>
      <c r="D199" s="21"/>
      <c r="E199" s="21"/>
      <c r="F199" s="21">
        <f t="shared" si="23"/>
        <v>0</v>
      </c>
      <c r="G199" s="21"/>
      <c r="H199" s="21"/>
    </row>
    <row r="200" hidden="1" spans="1:8">
      <c r="A200" s="37"/>
      <c r="B200" s="30"/>
      <c r="C200" s="32"/>
      <c r="D200" s="21"/>
      <c r="E200" s="21"/>
      <c r="F200" s="21">
        <f t="shared" si="23"/>
        <v>0</v>
      </c>
      <c r="G200" s="21"/>
      <c r="H200" s="21"/>
    </row>
    <row r="201" hidden="1" spans="1:8">
      <c r="A201" s="37"/>
      <c r="B201" s="30"/>
      <c r="C201" s="32"/>
      <c r="D201" s="21"/>
      <c r="E201" s="21"/>
      <c r="F201" s="21">
        <f t="shared" si="23"/>
        <v>0</v>
      </c>
      <c r="G201" s="21"/>
      <c r="H201" s="21"/>
    </row>
    <row r="202" hidden="1" spans="1:8">
      <c r="A202" s="37"/>
      <c r="B202" s="30"/>
      <c r="C202" s="32"/>
      <c r="D202" s="21"/>
      <c r="E202" s="21"/>
      <c r="F202" s="21">
        <f t="shared" si="23"/>
        <v>0</v>
      </c>
      <c r="G202" s="21"/>
      <c r="H202" s="21"/>
    </row>
    <row r="203" hidden="1" spans="1:8">
      <c r="A203" s="37"/>
      <c r="B203" s="30"/>
      <c r="C203" s="32"/>
      <c r="D203" s="21"/>
      <c r="E203" s="21"/>
      <c r="F203" s="21">
        <f t="shared" si="23"/>
        <v>0</v>
      </c>
      <c r="G203" s="21"/>
      <c r="H203" s="21"/>
    </row>
    <row r="204" hidden="1" spans="1:8">
      <c r="A204" s="37"/>
      <c r="B204" s="30"/>
      <c r="C204" s="32"/>
      <c r="D204" s="21"/>
      <c r="E204" s="21"/>
      <c r="F204" s="21">
        <f t="shared" si="23"/>
        <v>0</v>
      </c>
      <c r="G204" s="21"/>
      <c r="H204" s="21"/>
    </row>
    <row r="205" hidden="1" spans="1:8">
      <c r="A205" s="37"/>
      <c r="B205" s="30"/>
      <c r="C205" s="32"/>
      <c r="D205" s="21"/>
      <c r="E205" s="21"/>
      <c r="F205" s="21">
        <f t="shared" si="23"/>
        <v>0</v>
      </c>
      <c r="G205" s="21"/>
      <c r="H205" s="21"/>
    </row>
    <row r="206" hidden="1" spans="1:8">
      <c r="A206" s="37"/>
      <c r="B206" s="30"/>
      <c r="C206" s="32"/>
      <c r="D206" s="21"/>
      <c r="E206" s="21"/>
      <c r="F206" s="21">
        <f t="shared" si="23"/>
        <v>0</v>
      </c>
      <c r="G206" s="21"/>
      <c r="H206" s="21"/>
    </row>
    <row r="207" hidden="1" spans="1:8">
      <c r="A207" s="37"/>
      <c r="B207" s="30"/>
      <c r="C207" s="32"/>
      <c r="D207" s="21"/>
      <c r="E207" s="21"/>
      <c r="F207" s="21">
        <f t="shared" si="23"/>
        <v>0</v>
      </c>
      <c r="G207" s="21"/>
      <c r="H207" s="21"/>
    </row>
    <row r="208" hidden="1" spans="1:8">
      <c r="A208" s="37"/>
      <c r="B208" s="30"/>
      <c r="C208" s="32"/>
      <c r="D208" s="21"/>
      <c r="E208" s="21"/>
      <c r="F208" s="21">
        <f t="shared" si="23"/>
        <v>0</v>
      </c>
      <c r="G208" s="21"/>
      <c r="H208" s="21"/>
    </row>
    <row r="209" hidden="1" spans="1:8">
      <c r="A209" s="37"/>
      <c r="B209" s="30"/>
      <c r="C209" s="32"/>
      <c r="D209" s="21"/>
      <c r="E209" s="21"/>
      <c r="F209" s="21">
        <f t="shared" si="23"/>
        <v>0</v>
      </c>
      <c r="G209" s="21"/>
      <c r="H209" s="21"/>
    </row>
    <row r="210" hidden="1" spans="1:8">
      <c r="A210" s="37"/>
      <c r="B210" s="30"/>
      <c r="C210" s="32"/>
      <c r="D210" s="21"/>
      <c r="E210" s="21"/>
      <c r="F210" s="21">
        <f t="shared" si="23"/>
        <v>0</v>
      </c>
      <c r="G210" s="21"/>
      <c r="H210" s="21"/>
    </row>
    <row r="211" hidden="1" spans="1:8">
      <c r="A211" s="37"/>
      <c r="B211" s="30"/>
      <c r="C211" s="32"/>
      <c r="D211" s="21"/>
      <c r="E211" s="21"/>
      <c r="F211" s="21">
        <f t="shared" si="23"/>
        <v>0</v>
      </c>
      <c r="G211" s="21"/>
      <c r="H211" s="21"/>
    </row>
    <row r="212" hidden="1" spans="1:8">
      <c r="A212" s="37"/>
      <c r="B212" s="30"/>
      <c r="C212" s="32"/>
      <c r="D212" s="21"/>
      <c r="E212" s="21"/>
      <c r="F212" s="21">
        <f t="shared" si="23"/>
        <v>0</v>
      </c>
      <c r="G212" s="21"/>
      <c r="H212" s="21"/>
    </row>
    <row r="213" hidden="1" spans="1:8">
      <c r="A213" s="37"/>
      <c r="B213" s="30"/>
      <c r="C213" s="32"/>
      <c r="D213" s="21"/>
      <c r="E213" s="21"/>
      <c r="F213" s="21">
        <f t="shared" si="23"/>
        <v>0</v>
      </c>
      <c r="G213" s="21"/>
      <c r="H213" s="21"/>
    </row>
    <row r="214" hidden="1" spans="1:8">
      <c r="A214" s="20"/>
      <c r="B214" s="30"/>
      <c r="C214" s="32"/>
      <c r="D214" s="21"/>
      <c r="E214" s="21"/>
      <c r="F214" s="21">
        <f t="shared" si="23"/>
        <v>0</v>
      </c>
      <c r="G214" s="21"/>
      <c r="H214" s="21"/>
    </row>
    <row r="215" hidden="1" spans="1:8">
      <c r="A215" s="20"/>
      <c r="B215" s="30"/>
      <c r="C215" s="32"/>
      <c r="D215" s="21"/>
      <c r="E215" s="21"/>
      <c r="F215" s="21">
        <f t="shared" si="23"/>
        <v>0</v>
      </c>
      <c r="G215" s="21"/>
      <c r="H215" s="21"/>
    </row>
    <row r="216" hidden="1" spans="1:8">
      <c r="A216" s="20"/>
      <c r="B216" s="30"/>
      <c r="C216" s="32"/>
      <c r="D216" s="21"/>
      <c r="E216" s="21"/>
      <c r="F216" s="21">
        <f t="shared" si="23"/>
        <v>0</v>
      </c>
      <c r="G216" s="21"/>
      <c r="H216" s="21"/>
    </row>
    <row r="217" hidden="1" spans="1:8">
      <c r="A217" s="20"/>
      <c r="B217" s="30"/>
      <c r="C217" s="32"/>
      <c r="D217" s="21"/>
      <c r="E217" s="21"/>
      <c r="F217" s="21">
        <f t="shared" si="23"/>
        <v>0</v>
      </c>
      <c r="G217" s="21"/>
      <c r="H217" s="21"/>
    </row>
    <row r="218" s="4" customFormat="1" ht="14.25" hidden="1" spans="1:11">
      <c r="A218" s="23"/>
      <c r="B218" s="45" t="s">
        <v>387</v>
      </c>
      <c r="C218" s="46"/>
      <c r="D218" s="24"/>
      <c r="E218" s="24"/>
      <c r="F218" s="24">
        <f>SUM(F196:F217)</f>
        <v>0</v>
      </c>
      <c r="G218" s="24">
        <f t="shared" ref="G218:H218" si="24">SUM(G196:G217)</f>
        <v>0</v>
      </c>
      <c r="H218" s="24">
        <f t="shared" si="24"/>
        <v>0</v>
      </c>
      <c r="I218" s="44"/>
      <c r="J218" s="44"/>
      <c r="K218" s="44"/>
    </row>
    <row r="219" ht="15.75"/>
    <row r="220" ht="15.75" spans="1:8">
      <c r="A220" s="65"/>
      <c r="B220" s="66" t="s">
        <v>554</v>
      </c>
      <c r="C220" s="67"/>
      <c r="D220" s="67"/>
      <c r="E220" s="68"/>
      <c r="F220" s="69">
        <f>F218+F190+F164+F140+G128+F116+G104+F91+F79+F67+F55+F42+I30</f>
        <v>344300</v>
      </c>
      <c r="G220" s="69">
        <f>G218+G190+G164+G140+H128+G116+H104+G91+G79+G67+G55+G42+J30</f>
        <v>344300</v>
      </c>
      <c r="H220" s="69">
        <f>H218+H190+H164+H140+I128+H116+I104+H91+H79+H67+H55+H42+K30</f>
        <v>344300</v>
      </c>
    </row>
    <row r="223" s="6" customFormat="1" ht="20.25" customHeight="1" spans="1:21">
      <c r="A223" s="6" t="s">
        <v>267</v>
      </c>
      <c r="D223" s="70" t="str">
        <f>закупки!AQ30</f>
        <v>Заведующий</v>
      </c>
      <c r="E223" s="71"/>
      <c r="F223" s="70"/>
      <c r="G223" s="71"/>
      <c r="H223" s="70" t="str">
        <f>закупки!BY30</f>
        <v>Измайлова Н.В.</v>
      </c>
      <c r="I223" s="70"/>
      <c r="J223" s="71"/>
      <c r="K223" s="71"/>
      <c r="L223" s="71"/>
      <c r="M223" s="71"/>
      <c r="N223" s="71"/>
      <c r="O223" s="71"/>
      <c r="P223" s="71"/>
      <c r="Q223" s="71"/>
      <c r="R223" s="71"/>
      <c r="S223" s="71"/>
      <c r="T223" s="71"/>
      <c r="U223" s="77"/>
    </row>
    <row r="224" s="6" customFormat="1" ht="20.25" customHeight="1" spans="1:21">
      <c r="A224" s="6" t="s">
        <v>268</v>
      </c>
      <c r="D224" s="72" t="s">
        <v>555</v>
      </c>
      <c r="E224" s="73"/>
      <c r="F224" s="72" t="s">
        <v>556</v>
      </c>
      <c r="G224" s="73"/>
      <c r="H224" s="74" t="s">
        <v>557</v>
      </c>
      <c r="I224" s="74"/>
      <c r="J224" s="73"/>
      <c r="K224" s="73"/>
      <c r="L224" s="73"/>
      <c r="M224" s="73"/>
      <c r="N224" s="73"/>
      <c r="O224" s="73"/>
      <c r="P224" s="73"/>
      <c r="Q224" s="73"/>
      <c r="R224" s="73"/>
      <c r="S224" s="73"/>
      <c r="T224" s="73"/>
      <c r="U224" s="77"/>
    </row>
    <row r="225" s="6" customFormat="1" spans="1:1">
      <c r="A225" s="75"/>
    </row>
    <row r="226" s="6" customFormat="1" spans="1:8">
      <c r="A226" s="75" t="s">
        <v>271</v>
      </c>
      <c r="B226" s="75"/>
      <c r="C226" s="70" t="str">
        <f>закупки!AM33</f>
        <v>Гл.бухгалтер</v>
      </c>
      <c r="D226" s="71"/>
      <c r="E226" s="70" t="str">
        <f>закупки!BG33</f>
        <v>Родионова Н.А.</v>
      </c>
      <c r="F226" s="71"/>
      <c r="G226" s="76" t="str">
        <f>закупки!CA33</f>
        <v>31-55-99</v>
      </c>
      <c r="H226" s="70"/>
    </row>
    <row r="227" s="6" customFormat="1" spans="3:8">
      <c r="C227" s="72" t="s">
        <v>558</v>
      </c>
      <c r="D227" s="73"/>
      <c r="E227" s="74" t="s">
        <v>275</v>
      </c>
      <c r="F227" s="73"/>
      <c r="G227" s="74" t="s">
        <v>276</v>
      </c>
      <c r="H227" s="74"/>
    </row>
    <row r="228" s="6" customFormat="1"/>
    <row r="229" s="6" customFormat="1"/>
    <row r="230" s="6" customFormat="1"/>
    <row r="231" s="6" customFormat="1"/>
    <row r="232" s="6" customFormat="1" customHeight="1" spans="1:5">
      <c r="A232" s="75" t="s">
        <v>559</v>
      </c>
      <c r="B232" s="75"/>
      <c r="C232" s="75"/>
      <c r="D232" s="75"/>
      <c r="E232" s="75"/>
    </row>
  </sheetData>
  <mergeCells count="121">
    <mergeCell ref="J1:K1"/>
    <mergeCell ref="I2:K2"/>
    <mergeCell ref="A3:K3"/>
    <mergeCell ref="A6:K6"/>
    <mergeCell ref="A8:B8"/>
    <mergeCell ref="A10:C10"/>
    <mergeCell ref="D15:G15"/>
    <mergeCell ref="A44:H44"/>
    <mergeCell ref="B46:D46"/>
    <mergeCell ref="B47:D47"/>
    <mergeCell ref="B48:D48"/>
    <mergeCell ref="B49:D49"/>
    <mergeCell ref="B50:D50"/>
    <mergeCell ref="B51:D51"/>
    <mergeCell ref="B52:D52"/>
    <mergeCell ref="B53:D53"/>
    <mergeCell ref="B54:D54"/>
    <mergeCell ref="B55:D55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A81:H81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6:C96"/>
    <mergeCell ref="B97:C97"/>
    <mergeCell ref="B98:C98"/>
    <mergeCell ref="B99:C99"/>
    <mergeCell ref="B102:C102"/>
    <mergeCell ref="B103:C103"/>
    <mergeCell ref="B104:C104"/>
    <mergeCell ref="B108:C108"/>
    <mergeCell ref="B109:C109"/>
    <mergeCell ref="B110:C110"/>
    <mergeCell ref="B111:C111"/>
    <mergeCell ref="B112:C112"/>
    <mergeCell ref="B113:C113"/>
    <mergeCell ref="B114:C114"/>
    <mergeCell ref="B115:C115"/>
    <mergeCell ref="B116:C116"/>
    <mergeCell ref="B120:C120"/>
    <mergeCell ref="B121:C121"/>
    <mergeCell ref="B122:C122"/>
    <mergeCell ref="B123:C123"/>
    <mergeCell ref="B124:C124"/>
    <mergeCell ref="B125:C125"/>
    <mergeCell ref="B126:C126"/>
    <mergeCell ref="B127:C127"/>
    <mergeCell ref="B128:C128"/>
    <mergeCell ref="B132:C132"/>
    <mergeCell ref="B133:C133"/>
    <mergeCell ref="B134:C134"/>
    <mergeCell ref="B135:C135"/>
    <mergeCell ref="B136:C136"/>
    <mergeCell ref="B137:C137"/>
    <mergeCell ref="B138:C138"/>
    <mergeCell ref="B139:C139"/>
    <mergeCell ref="B140:C140"/>
    <mergeCell ref="B144:C144"/>
    <mergeCell ref="B145:C145"/>
    <mergeCell ref="B146:C146"/>
    <mergeCell ref="B147:C147"/>
    <mergeCell ref="B160:C160"/>
    <mergeCell ref="B161:C161"/>
    <mergeCell ref="B162:C162"/>
    <mergeCell ref="B163:C163"/>
    <mergeCell ref="B164:C164"/>
    <mergeCell ref="B168:C168"/>
    <mergeCell ref="B169:C169"/>
    <mergeCell ref="B170:C170"/>
    <mergeCell ref="B171:C171"/>
    <mergeCell ref="B172:C172"/>
    <mergeCell ref="B187:C187"/>
    <mergeCell ref="B188:C188"/>
    <mergeCell ref="B189:C189"/>
    <mergeCell ref="B190:C190"/>
    <mergeCell ref="B194:C194"/>
    <mergeCell ref="B195:C195"/>
    <mergeCell ref="B196:C196"/>
    <mergeCell ref="B197:C197"/>
    <mergeCell ref="B214:C214"/>
    <mergeCell ref="B215:C215"/>
    <mergeCell ref="B216:C216"/>
    <mergeCell ref="B217:C217"/>
    <mergeCell ref="B218:C218"/>
    <mergeCell ref="B220:E220"/>
    <mergeCell ref="A223:C223"/>
    <mergeCell ref="A224:C224"/>
    <mergeCell ref="A226:B226"/>
    <mergeCell ref="G227:H227"/>
    <mergeCell ref="A232:E232"/>
    <mergeCell ref="A15:A17"/>
    <mergeCell ref="B15:B17"/>
    <mergeCell ref="C15:C17"/>
    <mergeCell ref="D16:D17"/>
    <mergeCell ref="H15:H17"/>
    <mergeCell ref="I15:I17"/>
    <mergeCell ref="J15:J17"/>
    <mergeCell ref="K15:K17"/>
  </mergeCells>
  <pageMargins left="0.3875" right="0.290625" top="0.75" bottom="0.75" header="0.3" footer="0.3"/>
  <pageSetup paperSize="9" scale="62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16</vt:i4>
      </vt:variant>
    </vt:vector>
  </HeadingPairs>
  <TitlesOfParts>
    <vt:vector size="16" baseType="lpstr">
      <vt:lpstr>план </vt:lpstr>
      <vt:lpstr>вспомогательная</vt:lpstr>
      <vt:lpstr>закупки</vt:lpstr>
      <vt:lpstr>аренда</vt:lpstr>
      <vt:lpstr>возмещение</vt:lpstr>
      <vt:lpstr>иная прин </vt:lpstr>
      <vt:lpstr>субсидия</vt:lpstr>
      <vt:lpstr>Z1053</vt:lpstr>
      <vt:lpstr>71053</vt:lpstr>
      <vt:lpstr>субвенция</vt:lpstr>
      <vt:lpstr>сов.пит</vt:lpstr>
      <vt:lpstr>депутаты</vt:lpstr>
      <vt:lpstr>исполнит</vt:lpstr>
      <vt:lpstr>питан.сотруд</vt:lpstr>
      <vt:lpstr>возм.коммунал</vt:lpstr>
      <vt:lpstr>платные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Позднякова Н.В.</dc:creator>
  <cp:lastModifiedBy>Администратор</cp:lastModifiedBy>
  <dcterms:created xsi:type="dcterms:W3CDTF">2020-01-16T12:18:00Z</dcterms:created>
  <cp:lastPrinted>2020-08-14T09:23:00Z</cp:lastPrinted>
  <dcterms:modified xsi:type="dcterms:W3CDTF">2021-02-11T06:37:42Z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1049-11.2.0.9984</vt:lpwstr>
  </property>
</Properties>
</file>